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xternal_Organisations\PorkCRC\CRC for High Integrity Australian Pork\Website\"/>
    </mc:Choice>
  </mc:AlternateContent>
  <workbookProtection workbookPassword="8644" lockStructure="1"/>
  <bookViews>
    <workbookView xWindow="480" yWindow="180" windowWidth="19320" windowHeight="12060"/>
  </bookViews>
  <sheets>
    <sheet name="Budget" sheetId="1" r:id="rId1"/>
    <sheet name="Milestones" sheetId="2" r:id="rId2"/>
    <sheet name="Basefunding" sheetId="3" r:id="rId3"/>
    <sheet name="data" sheetId="4" state="hidden" r:id="rId4"/>
  </sheets>
  <definedNames>
    <definedName name="_xlnm._FilterDatabase" localSheetId="3" hidden="1">data!$C$2:$C$63</definedName>
    <definedName name="data">Basefunding!$B$29</definedName>
    <definedName name="Facilities">data!$F$71:$F$95</definedName>
    <definedName name="_xlnm.Print_Area" localSheetId="2">Basefunding!$A$1:$L$20</definedName>
    <definedName name="_xlnm.Print_Area" localSheetId="0">Budget!$B$1:$I$96</definedName>
    <definedName name="_xlnm.Print_Area" localSheetId="1">Milestones!$A$1:$D$18</definedName>
    <definedName name="_xlnm.Print_Titles" localSheetId="0">Budget!$1:$9</definedName>
  </definedNames>
  <calcPr calcId="152511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3" i="2"/>
  <c r="C5" i="3" l="1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4" i="3"/>
  <c r="G23" i="1" l="1"/>
  <c r="L5" i="3" l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H80" i="1"/>
  <c r="H81" i="1"/>
  <c r="H82" i="1"/>
  <c r="H83" i="1"/>
  <c r="G64" i="1"/>
  <c r="H64" i="1"/>
  <c r="G65" i="1"/>
  <c r="G66" i="1"/>
  <c r="G67" i="1"/>
  <c r="G51" i="1"/>
  <c r="H51" i="1" s="1"/>
  <c r="G52" i="1"/>
  <c r="H52" i="1"/>
  <c r="G53" i="1"/>
  <c r="G54" i="1"/>
  <c r="H54" i="1" s="1"/>
  <c r="G38" i="1"/>
  <c r="H38" i="1"/>
  <c r="G39" i="1"/>
  <c r="H39" i="1" s="1"/>
  <c r="G40" i="1"/>
  <c r="G41" i="1"/>
  <c r="H41" i="1" s="1"/>
  <c r="G28" i="1"/>
  <c r="H28" i="1" s="1"/>
  <c r="G27" i="1"/>
  <c r="H27" i="1" s="1"/>
  <c r="G29" i="1"/>
  <c r="G30" i="1"/>
  <c r="H30" i="1"/>
  <c r="G89" i="1"/>
  <c r="H78" i="1"/>
  <c r="H79" i="1"/>
  <c r="H85" i="1"/>
  <c r="H86" i="1"/>
  <c r="G31" i="1"/>
  <c r="G63" i="1"/>
  <c r="G68" i="1"/>
  <c r="G69" i="1"/>
  <c r="G70" i="1"/>
  <c r="G50" i="1"/>
  <c r="G55" i="1"/>
  <c r="G56" i="1"/>
  <c r="G57" i="1"/>
  <c r="G37" i="1"/>
  <c r="G42" i="1"/>
  <c r="G43" i="1"/>
  <c r="G44" i="1"/>
  <c r="G24" i="1"/>
  <c r="G25" i="1"/>
  <c r="G26" i="1"/>
  <c r="G17" i="1"/>
  <c r="E17" i="1"/>
  <c r="H57" i="1" l="1"/>
  <c r="H29" i="1"/>
  <c r="H40" i="1"/>
  <c r="H53" i="1"/>
  <c r="H56" i="1"/>
  <c r="H66" i="1"/>
  <c r="H65" i="1"/>
  <c r="H67" i="1"/>
  <c r="H68" i="1"/>
  <c r="H25" i="1"/>
  <c r="H69" i="1"/>
  <c r="H37" i="1"/>
  <c r="H42" i="1"/>
  <c r="H70" i="1"/>
  <c r="H50" i="1"/>
  <c r="H44" i="1"/>
  <c r="H43" i="1"/>
  <c r="H55" i="1"/>
  <c r="H63" i="1"/>
  <c r="H26" i="1"/>
  <c r="H31" i="1"/>
  <c r="H24" i="1"/>
  <c r="G45" i="1" l="1"/>
  <c r="H45" i="1" l="1"/>
  <c r="D20" i="3"/>
  <c r="G7" i="3"/>
  <c r="H7" i="3"/>
  <c r="I7" i="3"/>
  <c r="J7" i="3"/>
  <c r="G8" i="3"/>
  <c r="H8" i="3"/>
  <c r="I8" i="3"/>
  <c r="J8" i="3"/>
  <c r="G9" i="3"/>
  <c r="H9" i="3"/>
  <c r="I9" i="3"/>
  <c r="J9" i="3"/>
  <c r="G10" i="3"/>
  <c r="H10" i="3"/>
  <c r="I10" i="3"/>
  <c r="J10" i="3"/>
  <c r="G11" i="3"/>
  <c r="H11" i="3"/>
  <c r="I11" i="3"/>
  <c r="J11" i="3"/>
  <c r="G12" i="3"/>
  <c r="H12" i="3"/>
  <c r="I12" i="3"/>
  <c r="J12" i="3"/>
  <c r="G13" i="3"/>
  <c r="H13" i="3"/>
  <c r="I13" i="3"/>
  <c r="J13" i="3"/>
  <c r="G14" i="3"/>
  <c r="H14" i="3"/>
  <c r="I14" i="3"/>
  <c r="J14" i="3"/>
  <c r="G15" i="3"/>
  <c r="H15" i="3"/>
  <c r="I15" i="3"/>
  <c r="J15" i="3"/>
  <c r="G16" i="3"/>
  <c r="H16" i="3"/>
  <c r="I16" i="3"/>
  <c r="J16" i="3"/>
  <c r="G17" i="3"/>
  <c r="H17" i="3"/>
  <c r="I17" i="3"/>
  <c r="J17" i="3"/>
  <c r="G18" i="3"/>
  <c r="H18" i="3"/>
  <c r="I18" i="3"/>
  <c r="J18" i="3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F1" i="4"/>
  <c r="F94" i="4"/>
  <c r="F95" i="4"/>
  <c r="F91" i="4"/>
  <c r="F92" i="4"/>
  <c r="F93" i="4"/>
  <c r="F86" i="4"/>
  <c r="F87" i="4"/>
  <c r="F88" i="4"/>
  <c r="F89" i="4"/>
  <c r="F90" i="4"/>
  <c r="F80" i="4"/>
  <c r="F81" i="4"/>
  <c r="F82" i="4"/>
  <c r="F83" i="4"/>
  <c r="F84" i="4"/>
  <c r="F85" i="4"/>
  <c r="F72" i="4"/>
  <c r="F73" i="4"/>
  <c r="F74" i="4"/>
  <c r="F75" i="4"/>
  <c r="F76" i="4"/>
  <c r="F77" i="4"/>
  <c r="F78" i="4"/>
  <c r="F79" i="4"/>
  <c r="F71" i="4"/>
  <c r="F4" i="3" l="1"/>
  <c r="L4" i="3"/>
  <c r="K18" i="3"/>
  <c r="K16" i="3"/>
  <c r="K14" i="3"/>
  <c r="K12" i="3"/>
  <c r="K10" i="3"/>
  <c r="K17" i="3"/>
  <c r="K15" i="3"/>
  <c r="K13" i="3"/>
  <c r="K11" i="3"/>
  <c r="K9" i="3"/>
  <c r="K7" i="3"/>
  <c r="K8" i="3"/>
  <c r="H5" i="3"/>
  <c r="J4" i="3"/>
  <c r="J6" i="3"/>
  <c r="I6" i="3"/>
  <c r="H6" i="3"/>
  <c r="G6" i="3"/>
  <c r="G4" i="3"/>
  <c r="G5" i="3"/>
  <c r="H4" i="3"/>
  <c r="I4" i="3"/>
  <c r="J5" i="3"/>
  <c r="I5" i="3"/>
  <c r="K6" i="3" l="1"/>
  <c r="K5" i="3"/>
  <c r="K4" i="3"/>
  <c r="H20" i="3"/>
  <c r="F20" i="3"/>
  <c r="G20" i="3"/>
  <c r="I20" i="3"/>
  <c r="J20" i="3"/>
  <c r="L20" i="3"/>
  <c r="H84" i="1"/>
  <c r="D15" i="1"/>
  <c r="D13" i="1"/>
  <c r="H87" i="1"/>
  <c r="H14" i="1"/>
  <c r="H15" i="1"/>
  <c r="H13" i="1"/>
  <c r="H89" i="1" l="1"/>
  <c r="H17" i="1"/>
  <c r="K20" i="3"/>
  <c r="G71" i="1"/>
  <c r="H71" i="1" l="1"/>
  <c r="G62" i="1"/>
  <c r="G58" i="1"/>
  <c r="G49" i="1"/>
  <c r="G36" i="1"/>
  <c r="G32" i="1"/>
  <c r="E91" i="1" l="1"/>
  <c r="G73" i="1"/>
  <c r="H58" i="1"/>
  <c r="H49" i="1"/>
  <c r="H23" i="1"/>
  <c r="H62" i="1"/>
  <c r="H36" i="1"/>
  <c r="H32" i="1"/>
  <c r="G90" i="1" l="1"/>
  <c r="G91" i="1" s="1"/>
  <c r="H73" i="1"/>
  <c r="H90" i="1" s="1"/>
  <c r="H91" i="1" s="1"/>
</calcChain>
</file>

<file path=xl/sharedStrings.xml><?xml version="1.0" encoding="utf-8"?>
<sst xmlns="http://schemas.openxmlformats.org/spreadsheetml/2006/main" count="439" uniqueCount="82">
  <si>
    <t xml:space="preserve">Researcher/Professional </t>
  </si>
  <si>
    <t xml:space="preserve">CRC Cash Requested </t>
  </si>
  <si>
    <t>PROPOSED PROJECT BUDGET</t>
  </si>
  <si>
    <t>Totals</t>
  </si>
  <si>
    <t>External Cash Commitment</t>
  </si>
  <si>
    <t>Other - Non-Staff</t>
  </si>
  <si>
    <t>PROPOSED PROJECT MILESTONES</t>
  </si>
  <si>
    <t>Task Name</t>
  </si>
  <si>
    <t>Description</t>
  </si>
  <si>
    <t>Start Date</t>
  </si>
  <si>
    <t>End Date</t>
  </si>
  <si>
    <t>Project Title</t>
  </si>
  <si>
    <t>Project Leader</t>
  </si>
  <si>
    <t>Lead Organisation</t>
  </si>
  <si>
    <t>Comments</t>
  </si>
  <si>
    <t xml:space="preserve">Key Researcher/Project Leader </t>
  </si>
  <si>
    <t>Senior Manager</t>
  </si>
  <si>
    <t>2016/17</t>
  </si>
  <si>
    <t>2017/18</t>
  </si>
  <si>
    <t>Pork CRC Proposal - Budget</t>
  </si>
  <si>
    <t>2018/19</t>
  </si>
  <si>
    <t>Cash Project Funding</t>
  </si>
  <si>
    <t xml:space="preserve">Total Cash Project Funding </t>
  </si>
  <si>
    <t xml:space="preserve">Total In-Kind Project Funding </t>
  </si>
  <si>
    <t>$</t>
  </si>
  <si>
    <t>Support staff – technical, administrative etc</t>
  </si>
  <si>
    <t>Paid by</t>
  </si>
  <si>
    <t>Paid to</t>
  </si>
  <si>
    <t>Pork CRC</t>
  </si>
  <si>
    <t xml:space="preserve">Notes - </t>
  </si>
  <si>
    <t xml:space="preserve">2. FTE figures are annual so adjust accordingly if person is not working on the project for the whole year. </t>
  </si>
  <si>
    <t>Eg: If a person is to work on the project 10% of their time in Q1; 20% of their time in Q2; not at all in Q3 and 30% in Q4 then record (10%+20%+0%+30%)/4 = 15% as the FTE for the relevant year.</t>
  </si>
  <si>
    <t>Name/ Organisation</t>
  </si>
  <si>
    <t>Organisation provided by</t>
  </si>
  <si>
    <t>Capital</t>
  </si>
  <si>
    <r>
      <t xml:space="preserve">In-Kind Contributions </t>
    </r>
    <r>
      <rPr>
        <b/>
        <vertAlign val="superscript"/>
        <sz val="12"/>
        <color theme="0"/>
        <rFont val="Calibri"/>
        <family val="2"/>
        <scheme val="minor"/>
      </rPr>
      <t>Note 1</t>
    </r>
  </si>
  <si>
    <r>
      <t xml:space="preserve">FTE </t>
    </r>
    <r>
      <rPr>
        <b/>
        <vertAlign val="superscript"/>
        <sz val="10"/>
        <color theme="0"/>
        <rFont val="Calibri"/>
        <family val="2"/>
        <scheme val="minor"/>
      </rPr>
      <t>Note 2</t>
    </r>
  </si>
  <si>
    <t>Total Other In-Kind contributions</t>
  </si>
  <si>
    <t>Person Name/ Organisation</t>
  </si>
  <si>
    <r>
      <t xml:space="preserve">Organisation provided by </t>
    </r>
    <r>
      <rPr>
        <b/>
        <vertAlign val="superscript"/>
        <sz val="11"/>
        <color theme="0"/>
        <rFont val="Calibri"/>
        <family val="2"/>
        <scheme val="minor"/>
      </rPr>
      <t>Note 3</t>
    </r>
  </si>
  <si>
    <r>
      <t>3. "</t>
    </r>
    <r>
      <rPr>
        <b/>
        <sz val="10"/>
        <color rgb="FFFF0000"/>
        <rFont val="Calibri"/>
        <family val="2"/>
        <scheme val="minor"/>
      </rPr>
      <t>Organisation provided by</t>
    </r>
    <r>
      <rPr>
        <sz val="10"/>
        <color rgb="FFFF0000"/>
        <rFont val="Calibri"/>
        <family val="2"/>
        <scheme val="minor"/>
      </rPr>
      <t>" can be different from the organisation employing the personnel eg where a sub-contractor or consultant is provided to the project</t>
    </r>
  </si>
  <si>
    <t>Total Staff in-kind contributions</t>
  </si>
  <si>
    <t>PROPOSED BASEFUNDING USAGE</t>
  </si>
  <si>
    <t>Financial Year</t>
  </si>
  <si>
    <t>Number of base experiments</t>
  </si>
  <si>
    <t>BF_Cash_FTE_value</t>
  </si>
  <si>
    <t>Rivalea</t>
  </si>
  <si>
    <t>Roseworthy</t>
  </si>
  <si>
    <t>Facility</t>
  </si>
  <si>
    <t>Budget Type</t>
  </si>
  <si>
    <t>FTE category</t>
  </si>
  <si>
    <t>Sow Model - Lactating studies, Farrowing house, 25 days</t>
  </si>
  <si>
    <t>BF Cash FTE</t>
  </si>
  <si>
    <t>None</t>
  </si>
  <si>
    <t>BF Inkind FTE</t>
  </si>
  <si>
    <t>(1) Programme Leader/Senior Manager</t>
  </si>
  <si>
    <t>(2) Project/Theme Leader/Key Researcher/Manager</t>
  </si>
  <si>
    <t>(3) Researcher/Professional</t>
  </si>
  <si>
    <t>(4) Other (support staff - technical, administrative)</t>
  </si>
  <si>
    <t>BF Other in kind</t>
  </si>
  <si>
    <t>Sow Model - Lactating studies - Individual intensive, 25 days</t>
  </si>
  <si>
    <t>Sow Model - Lactating studies - Pig Safe Group 25 days</t>
  </si>
  <si>
    <t>Sow model - group gestating ESF 115 days</t>
  </si>
  <si>
    <t>Sow model - Group Pen gestating - 115 days</t>
  </si>
  <si>
    <t>Weaner Model (Individual)</t>
  </si>
  <si>
    <t>Weaner Model (Group)</t>
  </si>
  <si>
    <t>GF Model - individual intensive  40 days</t>
  </si>
  <si>
    <t>GF Model - group Pen  40 days</t>
  </si>
  <si>
    <t>Multisuckling/Free Movement Farrow Crates</t>
  </si>
  <si>
    <t>SunPork - North</t>
  </si>
  <si>
    <t>SunPork - South</t>
  </si>
  <si>
    <t>Location / Facility type</t>
  </si>
  <si>
    <t>Cash Cost $</t>
  </si>
  <si>
    <t>Other in kind $</t>
  </si>
  <si>
    <t>FTE in kind $</t>
  </si>
  <si>
    <t>FTE Category 1</t>
  </si>
  <si>
    <t>FTE Category 2</t>
  </si>
  <si>
    <t>FTE Category 3</t>
  </si>
  <si>
    <t>FTE Category 4</t>
  </si>
  <si>
    <t>4. Up to 10 entries can be made in each in-kind category - unhide extra rows as required</t>
  </si>
  <si>
    <t>1. Do not include Basefunding in-kind contributions in the table above - these are captured on the "Basefunding" tab</t>
  </si>
  <si>
    <t>PIWA (Medina)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</si>
</sst>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;\-&quot;$&quot;#,##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"/>
    <numFmt numFmtId="166" formatCode="[$-C09]dd\-mmmm\-yyyy;@"/>
    <numFmt numFmtId="167" formatCode="_-&quot;$&quot;#,##0&quot; per annum&quot;;\-&quot;$&quot;* #,##0_-;_-&quot;$&quot;* &quot;-&quot;_-;_-@_-"/>
    <numFmt numFmtId="168" formatCode="0.000"/>
    <numFmt numFmtId="169" formatCode="_-* #,##0_-;\-* #,##0_-;_-* &quot;-&quot;??_-;_-@_-"/>
    <numFmt numFmtId="170" formatCode="_-* #,##0.0_-;\-* #,##0.0_-;_-* &quot;-&quot;??_-;_-@_-"/>
    <numFmt numFmtId="171" formatCode="0.000\ &quot;FTE&quot;;;&quot;-&quot;;"/>
    <numFmt numFmtId="172" formatCode="_-* &quot;$&quot;#,##0_-;\-* #,##0_-;_-* &quot;-&quot;??_-;_-@_-"/>
    <numFmt numFmtId="173" formatCode="#,##0.000_ ;\-#,##0.0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rebuchet MS"/>
      <family val="2"/>
    </font>
    <font>
      <sz val="10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20"/>
      <color theme="3"/>
      <name val="Trebuchet MS"/>
      <family val="2"/>
    </font>
    <font>
      <b/>
      <sz val="11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theme="0"/>
      <name val="Calibri"/>
      <family val="2"/>
      <scheme val="minor"/>
    </font>
    <font>
      <b/>
      <sz val="10"/>
      <color rgb="FFFF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90B6E4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4" fillId="5" borderId="1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7" fillId="6" borderId="11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left"/>
    </xf>
    <xf numFmtId="168" fontId="18" fillId="0" borderId="11" xfId="0" applyNumberFormat="1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169" fontId="18" fillId="0" borderId="11" xfId="2" applyNumberFormat="1" applyFont="1" applyFill="1" applyBorder="1" applyAlignment="1">
      <alignment horizontal="center"/>
    </xf>
    <xf numFmtId="171" fontId="4" fillId="5" borderId="1" xfId="1" applyNumberFormat="1" applyFont="1" applyFill="1" applyBorder="1" applyAlignment="1">
      <alignment horizontal="center" vertical="center"/>
    </xf>
    <xf numFmtId="170" fontId="8" fillId="2" borderId="0" xfId="0" applyNumberFormat="1" applyFont="1" applyFill="1" applyBorder="1" applyAlignment="1">
      <alignment horizontal="left" vertical="center"/>
    </xf>
    <xf numFmtId="172" fontId="8" fillId="2" borderId="0" xfId="0" applyNumberFormat="1" applyFont="1" applyFill="1" applyBorder="1" applyAlignment="1">
      <alignment horizontal="left" vertical="center"/>
    </xf>
    <xf numFmtId="171" fontId="8" fillId="2" borderId="0" xfId="0" applyNumberFormat="1" applyFont="1" applyFill="1" applyBorder="1" applyAlignment="1">
      <alignment horizontal="right" vertical="center"/>
    </xf>
    <xf numFmtId="165" fontId="4" fillId="4" borderId="1" xfId="1" applyNumberFormat="1" applyFont="1" applyFill="1" applyBorder="1" applyAlignment="1" applyProtection="1">
      <alignment horizontal="center" vertical="center"/>
      <protection locked="0"/>
    </xf>
    <xf numFmtId="4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4" fontId="9" fillId="4" borderId="1" xfId="1" applyNumberFormat="1" applyFont="1" applyFill="1" applyBorder="1" applyAlignment="1" applyProtection="1">
      <alignment horizontal="center" vertical="center"/>
      <protection locked="0"/>
    </xf>
    <xf numFmtId="44" fontId="9" fillId="4" borderId="1" xfId="1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/>
      <protection locked="0"/>
    </xf>
    <xf numFmtId="44" fontId="4" fillId="4" borderId="16" xfId="1" applyNumberFormat="1" applyFont="1" applyFill="1" applyBorder="1" applyAlignment="1" applyProtection="1">
      <alignment horizontal="center" vertical="center" wrapText="1"/>
      <protection locked="0"/>
    </xf>
    <xf numFmtId="5" fontId="8" fillId="2" borderId="0" xfId="1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5" fontId="4" fillId="5" borderId="1" xfId="1" applyNumberFormat="1" applyFont="1" applyFill="1" applyBorder="1" applyAlignment="1" applyProtection="1">
      <alignment horizontal="center" vertical="center"/>
    </xf>
    <xf numFmtId="5" fontId="8" fillId="2" borderId="5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 wrapText="1"/>
    </xf>
    <xf numFmtId="42" fontId="4" fillId="3" borderId="1" xfId="1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165" fontId="8" fillId="2" borderId="1" xfId="1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165" fontId="10" fillId="2" borderId="0" xfId="1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/>
    </xf>
    <xf numFmtId="165" fontId="8" fillId="2" borderId="0" xfId="1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top" wrapText="1"/>
    </xf>
    <xf numFmtId="165" fontId="19" fillId="0" borderId="0" xfId="0" applyNumberFormat="1" applyFont="1" applyAlignment="1" applyProtection="1">
      <alignment horizontal="center" vertical="center"/>
    </xf>
    <xf numFmtId="44" fontId="9" fillId="4" borderId="1" xfId="1" applyNumberFormat="1" applyFont="1" applyFill="1" applyBorder="1" applyAlignment="1" applyProtection="1">
      <alignment wrapText="1"/>
      <protection locked="0"/>
    </xf>
    <xf numFmtId="44" fontId="9" fillId="4" borderId="5" xfId="1" applyNumberFormat="1" applyFont="1" applyFill="1" applyBorder="1" applyAlignment="1" applyProtection="1">
      <alignment horizontal="left" vertical="center" wrapText="1"/>
      <protection locked="0"/>
    </xf>
    <xf numFmtId="166" fontId="9" fillId="4" borderId="5" xfId="1" applyNumberFormat="1" applyFont="1" applyFill="1" applyBorder="1" applyAlignment="1" applyProtection="1">
      <alignment horizontal="left"/>
      <protection locked="0"/>
    </xf>
    <xf numFmtId="166" fontId="9" fillId="4" borderId="1" xfId="1" applyNumberFormat="1" applyFont="1" applyFill="1" applyBorder="1" applyProtection="1">
      <protection locked="0"/>
    </xf>
    <xf numFmtId="44" fontId="9" fillId="4" borderId="5" xfId="1" applyNumberFormat="1" applyFont="1" applyFill="1" applyBorder="1" applyAlignment="1" applyProtection="1">
      <alignment horizontal="center" wrapText="1"/>
      <protection locked="0"/>
    </xf>
    <xf numFmtId="44" fontId="9" fillId="4" borderId="5" xfId="1" applyNumberFormat="1" applyFont="1" applyFill="1" applyBorder="1" applyAlignment="1" applyProtection="1">
      <alignment horizontal="left" wrapText="1"/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70" fontId="9" fillId="4" borderId="1" xfId="2" applyNumberFormat="1" applyFont="1" applyFill="1" applyBorder="1" applyProtection="1">
      <protection locked="0"/>
    </xf>
    <xf numFmtId="173" fontId="4" fillId="4" borderId="1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44" fontId="9" fillId="4" borderId="5" xfId="1" applyNumberFormat="1" applyFont="1" applyFill="1" applyBorder="1" applyAlignment="1" applyProtection="1">
      <alignment horizontal="center" vertical="center"/>
      <protection locked="0"/>
    </xf>
    <xf numFmtId="44" fontId="9" fillId="4" borderId="7" xfId="1" applyNumberFormat="1" applyFont="1" applyFill="1" applyBorder="1" applyAlignment="1" applyProtection="1">
      <alignment horizontal="center" vertical="center"/>
      <protection locked="0"/>
    </xf>
    <xf numFmtId="44" fontId="9" fillId="4" borderId="6" xfId="1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42" fontId="4" fillId="3" borderId="5" xfId="1" applyNumberFormat="1" applyFont="1" applyFill="1" applyBorder="1" applyAlignment="1" applyProtection="1">
      <alignment horizontal="center" vertical="center"/>
    </xf>
    <xf numFmtId="42" fontId="4" fillId="3" borderId="6" xfId="1" applyNumberFormat="1" applyFont="1" applyFill="1" applyBorder="1" applyAlignment="1" applyProtection="1">
      <alignment horizontal="center" vertical="center"/>
    </xf>
    <xf numFmtId="0" fontId="4" fillId="3" borderId="5" xfId="1" applyNumberFormat="1" applyFont="1" applyFill="1" applyBorder="1" applyAlignment="1" applyProtection="1">
      <alignment horizontal="center" vertical="center" wrapText="1"/>
    </xf>
    <xf numFmtId="0" fontId="4" fillId="3" borderId="6" xfId="1" applyNumberFormat="1" applyFont="1" applyFill="1" applyBorder="1" applyAlignment="1" applyProtection="1">
      <alignment horizontal="center" vertical="center" wrapText="1"/>
    </xf>
    <xf numFmtId="165" fontId="4" fillId="4" borderId="5" xfId="1" applyNumberFormat="1" applyFont="1" applyFill="1" applyBorder="1" applyAlignment="1" applyProtection="1">
      <alignment horizontal="center" vertical="center"/>
      <protection locked="0"/>
    </xf>
    <xf numFmtId="165" fontId="4" fillId="4" borderId="6" xfId="1" applyNumberFormat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44" fontId="4" fillId="3" borderId="5" xfId="1" applyFont="1" applyFill="1" applyBorder="1" applyAlignment="1" applyProtection="1">
      <alignment horizontal="right" vertical="center" wrapText="1" indent="3"/>
    </xf>
    <xf numFmtId="44" fontId="4" fillId="3" borderId="7" xfId="1" applyFont="1" applyFill="1" applyBorder="1" applyAlignment="1" applyProtection="1">
      <alignment horizontal="right" vertical="center" wrapText="1" indent="3"/>
    </xf>
    <xf numFmtId="44" fontId="4" fillId="3" borderId="6" xfId="1" applyFont="1" applyFill="1" applyBorder="1" applyAlignment="1" applyProtection="1">
      <alignment horizontal="right" vertical="center" wrapText="1" indent="3"/>
    </xf>
    <xf numFmtId="44" fontId="9" fillId="4" borderId="5" xfId="1" applyFont="1" applyFill="1" applyBorder="1" applyAlignment="1" applyProtection="1">
      <alignment horizontal="center" vertical="center"/>
      <protection locked="0"/>
    </xf>
    <xf numFmtId="44" fontId="9" fillId="4" borderId="7" xfId="1" applyFont="1" applyFill="1" applyBorder="1" applyAlignment="1" applyProtection="1">
      <alignment horizontal="center" vertical="center"/>
      <protection locked="0"/>
    </xf>
    <xf numFmtId="44" fontId="9" fillId="4" borderId="6" xfId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top" wrapText="1"/>
    </xf>
    <xf numFmtId="167" fontId="4" fillId="3" borderId="5" xfId="1" applyNumberFormat="1" applyFont="1" applyFill="1" applyBorder="1" applyAlignment="1" applyProtection="1">
      <alignment horizontal="left" vertical="center"/>
    </xf>
    <xf numFmtId="167" fontId="4" fillId="3" borderId="6" xfId="1" applyNumberFormat="1" applyFont="1" applyFill="1" applyBorder="1" applyAlignment="1" applyProtection="1">
      <alignment horizontal="left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44" fontId="4" fillId="3" borderId="5" xfId="1" applyFont="1" applyFill="1" applyBorder="1" applyAlignment="1" applyProtection="1">
      <alignment horizontal="center" vertical="center"/>
    </xf>
    <xf numFmtId="44" fontId="4" fillId="3" borderId="7" xfId="1" applyFont="1" applyFill="1" applyBorder="1" applyAlignment="1" applyProtection="1">
      <alignment horizontal="center" vertical="center"/>
    </xf>
    <xf numFmtId="44" fontId="4" fillId="3" borderId="6" xfId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4" fontId="9" fillId="4" borderId="5" xfId="1" applyNumberFormat="1" applyFont="1" applyFill="1" applyBorder="1" applyAlignment="1" applyProtection="1">
      <alignment horizontal="center"/>
      <protection locked="0"/>
    </xf>
    <xf numFmtId="44" fontId="9" fillId="4" borderId="6" xfId="1" applyNumberFormat="1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7">
    <dxf>
      <font>
        <strike val="0"/>
        <color theme="0" tint="-0.14996795556505021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3810</xdr:rowOff>
    </xdr:from>
    <xdr:to>
      <xdr:col>1</xdr:col>
      <xdr:colOff>1322070</xdr:colOff>
      <xdr:row>3</xdr:row>
      <xdr:rowOff>32385</xdr:rowOff>
    </xdr:to>
    <xdr:pic>
      <xdr:nvPicPr>
        <xdr:cNvPr id="1061" name="Picture 2" descr="Pork CRC Email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" y="3810"/>
          <a:ext cx="13144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2:J96"/>
  <sheetViews>
    <sheetView showGridLines="0" tabSelected="1" zoomScaleNormal="100" workbookViewId="0">
      <selection activeCell="A82" sqref="A82:XFD87"/>
    </sheetView>
  </sheetViews>
  <sheetFormatPr defaultColWidth="9.140625" defaultRowHeight="12.75" x14ac:dyDescent="0.25"/>
  <cols>
    <col min="1" max="1" width="1.42578125" style="25" customWidth="1"/>
    <col min="2" max="2" width="30" style="25" customWidth="1"/>
    <col min="3" max="3" width="27" style="25" customWidth="1"/>
    <col min="4" max="4" width="13.85546875" style="25" customWidth="1"/>
    <col min="5" max="5" width="14.28515625" style="25" bestFit="1" customWidth="1"/>
    <col min="6" max="6" width="10.5703125" style="25" bestFit="1" customWidth="1"/>
    <col min="7" max="8" width="14.28515625" style="25" bestFit="1" customWidth="1"/>
    <col min="9" max="9" width="24.42578125" style="25" customWidth="1"/>
    <col min="10" max="10" width="1.42578125" style="25" customWidth="1"/>
    <col min="11" max="11" width="9.140625" style="25"/>
    <col min="12" max="12" width="13.85546875" style="25" bestFit="1" customWidth="1"/>
    <col min="13" max="13" width="38.42578125" style="25" bestFit="1" customWidth="1"/>
    <col min="14" max="14" width="47.85546875" style="25" bestFit="1" customWidth="1"/>
    <col min="15" max="16384" width="9.140625" style="25"/>
  </cols>
  <sheetData>
    <row r="2" spans="2:10" ht="26.25" x14ac:dyDescent="0.25">
      <c r="C2" s="28" t="s">
        <v>19</v>
      </c>
    </row>
    <row r="4" spans="2:10" x14ac:dyDescent="0.25">
      <c r="B4" s="29" t="s">
        <v>11</v>
      </c>
      <c r="C4" s="97"/>
      <c r="D4" s="98"/>
      <c r="E4" s="98"/>
      <c r="F4" s="98"/>
      <c r="G4" s="98"/>
      <c r="H4" s="98"/>
      <c r="I4" s="99"/>
    </row>
    <row r="5" spans="2:10" x14ac:dyDescent="0.25">
      <c r="B5" s="29" t="s">
        <v>12</v>
      </c>
      <c r="C5" s="97"/>
      <c r="D5" s="98"/>
      <c r="E5" s="98"/>
      <c r="F5" s="98"/>
      <c r="G5" s="98"/>
      <c r="H5" s="98"/>
      <c r="I5" s="99"/>
    </row>
    <row r="6" spans="2:10" x14ac:dyDescent="0.25">
      <c r="B6" s="30" t="s">
        <v>13</v>
      </c>
      <c r="C6" s="97"/>
      <c r="D6" s="98"/>
      <c r="E6" s="98"/>
      <c r="F6" s="98"/>
      <c r="G6" s="98"/>
      <c r="H6" s="98"/>
      <c r="I6" s="99"/>
    </row>
    <row r="7" spans="2:10" ht="3.75" customHeight="1" x14ac:dyDescent="0.25">
      <c r="B7" s="31"/>
      <c r="C7" s="31"/>
      <c r="D7" s="31"/>
      <c r="E7" s="31"/>
      <c r="F7" s="31"/>
      <c r="G7" s="31"/>
      <c r="H7" s="31"/>
      <c r="I7" s="31"/>
    </row>
    <row r="8" spans="2:10" ht="22.9" customHeight="1" x14ac:dyDescent="0.25">
      <c r="B8" s="32" t="s">
        <v>2</v>
      </c>
      <c r="C8" s="33"/>
      <c r="D8" s="34"/>
      <c r="E8" s="34"/>
      <c r="F8" s="34"/>
      <c r="G8" s="34"/>
      <c r="H8" s="34"/>
      <c r="I8" s="35"/>
      <c r="J8" s="36"/>
    </row>
    <row r="9" spans="2:10" s="37" customFormat="1" ht="3.75" customHeight="1" x14ac:dyDescent="0.25"/>
    <row r="10" spans="2:10" s="37" customFormat="1" ht="28.15" customHeight="1" x14ac:dyDescent="0.25">
      <c r="B10" s="105" t="s">
        <v>21</v>
      </c>
      <c r="C10" s="106"/>
      <c r="D10" s="106"/>
      <c r="E10" s="106"/>
      <c r="F10" s="106"/>
      <c r="G10" s="106"/>
      <c r="H10" s="106"/>
      <c r="I10" s="106"/>
    </row>
    <row r="11" spans="2:10" x14ac:dyDescent="0.25">
      <c r="B11" s="38" t="s">
        <v>8</v>
      </c>
      <c r="C11" s="38" t="s">
        <v>26</v>
      </c>
      <c r="D11" s="78" t="s">
        <v>27</v>
      </c>
      <c r="E11" s="79"/>
      <c r="F11" s="38"/>
      <c r="G11" s="38" t="s">
        <v>18</v>
      </c>
      <c r="H11" s="29" t="s">
        <v>3</v>
      </c>
      <c r="I11" s="39" t="s">
        <v>14</v>
      </c>
    </row>
    <row r="12" spans="2:10" x14ac:dyDescent="0.25">
      <c r="B12" s="40"/>
      <c r="C12" s="40"/>
      <c r="D12" s="80"/>
      <c r="E12" s="81"/>
      <c r="F12" s="40"/>
      <c r="G12" s="29" t="s">
        <v>24</v>
      </c>
      <c r="H12" s="29" t="s">
        <v>24</v>
      </c>
    </row>
    <row r="13" spans="2:10" ht="28.9" customHeight="1" x14ac:dyDescent="0.25">
      <c r="B13" s="41" t="s">
        <v>1</v>
      </c>
      <c r="C13" s="40" t="s">
        <v>28</v>
      </c>
      <c r="D13" s="82" t="str">
        <f>IF($C$6="","",$C$6)</f>
        <v/>
      </c>
      <c r="E13" s="83"/>
      <c r="F13" s="40"/>
      <c r="G13" s="17"/>
      <c r="H13" s="43">
        <f>SUM(E13:G13)</f>
        <v>0</v>
      </c>
      <c r="I13" s="18"/>
    </row>
    <row r="14" spans="2:10" ht="30.6" customHeight="1" x14ac:dyDescent="0.25">
      <c r="B14" s="41" t="s">
        <v>4</v>
      </c>
      <c r="C14" s="17"/>
      <c r="D14" s="84"/>
      <c r="E14" s="85"/>
      <c r="F14" s="42"/>
      <c r="G14" s="17"/>
      <c r="H14" s="43">
        <f>SUM(E14:G14)</f>
        <v>0</v>
      </c>
      <c r="I14" s="18"/>
    </row>
    <row r="15" spans="2:10" ht="30" customHeight="1" x14ac:dyDescent="0.25">
      <c r="B15" s="41" t="s">
        <v>34</v>
      </c>
      <c r="C15" s="40" t="s">
        <v>28</v>
      </c>
      <c r="D15" s="82" t="str">
        <f>IF($C$6="","",$C$6)</f>
        <v/>
      </c>
      <c r="E15" s="83"/>
      <c r="F15" s="42"/>
      <c r="G15" s="17">
        <v>0</v>
      </c>
      <c r="H15" s="43">
        <f>SUM(E15:G15)</f>
        <v>0</v>
      </c>
      <c r="I15" s="18"/>
    </row>
    <row r="16" spans="2:10" ht="9.75" customHeight="1" x14ac:dyDescent="0.25">
      <c r="B16" s="23"/>
      <c r="C16" s="23"/>
      <c r="D16" s="23"/>
      <c r="E16" s="23"/>
      <c r="F16" s="23"/>
      <c r="G16" s="23"/>
      <c r="H16" s="23"/>
    </row>
    <row r="17" spans="2:9" ht="15.75" x14ac:dyDescent="0.25">
      <c r="B17" s="44" t="s">
        <v>22</v>
      </c>
      <c r="C17" s="45"/>
      <c r="D17" s="45"/>
      <c r="E17" s="45">
        <f>SUM(E13:E16)</f>
        <v>0</v>
      </c>
      <c r="F17" s="45"/>
      <c r="G17" s="45">
        <f>SUM(G13:G16)</f>
        <v>0</v>
      </c>
      <c r="H17" s="45">
        <f>SUM(H13:H16)</f>
        <v>0</v>
      </c>
    </row>
    <row r="18" spans="2:9" ht="7.5" customHeight="1" x14ac:dyDescent="0.25"/>
    <row r="19" spans="2:9" ht="24" customHeight="1" x14ac:dyDescent="0.25">
      <c r="B19" s="103" t="s">
        <v>35</v>
      </c>
      <c r="C19" s="104"/>
      <c r="D19" s="104"/>
      <c r="E19" s="104"/>
      <c r="F19" s="104"/>
      <c r="G19" s="104"/>
      <c r="H19" s="104"/>
      <c r="I19" s="104"/>
    </row>
    <row r="20" spans="2:9" ht="20.25" customHeight="1" x14ac:dyDescent="0.25">
      <c r="B20" s="46"/>
      <c r="C20" s="46"/>
      <c r="D20" s="78"/>
      <c r="E20" s="79"/>
      <c r="F20" s="78" t="s">
        <v>18</v>
      </c>
      <c r="G20" s="79"/>
      <c r="H20" s="29" t="s">
        <v>3</v>
      </c>
      <c r="I20" s="46" t="s">
        <v>14</v>
      </c>
    </row>
    <row r="21" spans="2:9" x14ac:dyDescent="0.25">
      <c r="B21" s="41"/>
      <c r="C21" s="41"/>
      <c r="D21" s="107" t="s">
        <v>16</v>
      </c>
      <c r="E21" s="109"/>
      <c r="F21" s="101">
        <v>400000</v>
      </c>
      <c r="G21" s="102"/>
      <c r="H21" s="47"/>
      <c r="I21" s="48"/>
    </row>
    <row r="22" spans="2:9" ht="17.25" x14ac:dyDescent="0.25">
      <c r="B22" s="49" t="s">
        <v>39</v>
      </c>
      <c r="C22" s="46" t="s">
        <v>38</v>
      </c>
      <c r="D22" s="29"/>
      <c r="E22" s="29"/>
      <c r="F22" s="29" t="s">
        <v>36</v>
      </c>
      <c r="G22" s="29" t="s">
        <v>24</v>
      </c>
      <c r="H22" s="38"/>
      <c r="I22" s="24"/>
    </row>
    <row r="23" spans="2:9" x14ac:dyDescent="0.25">
      <c r="B23" s="19" t="s">
        <v>33</v>
      </c>
      <c r="C23" s="20" t="s">
        <v>32</v>
      </c>
      <c r="D23" s="40"/>
      <c r="E23" s="40"/>
      <c r="F23" s="73"/>
      <c r="G23" s="26">
        <f t="shared" ref="G23:G32" si="0">F23*$F$21</f>
        <v>0</v>
      </c>
      <c r="H23" s="27">
        <f t="shared" ref="H23:H32" si="1">SUM(E23,G23)</f>
        <v>0</v>
      </c>
      <c r="I23" s="18"/>
    </row>
    <row r="24" spans="2:9" x14ac:dyDescent="0.25">
      <c r="B24" s="19" t="s">
        <v>33</v>
      </c>
      <c r="C24" s="20" t="s">
        <v>32</v>
      </c>
      <c r="D24" s="40"/>
      <c r="E24" s="40"/>
      <c r="F24" s="73"/>
      <c r="G24" s="26">
        <f t="shared" si="0"/>
        <v>0</v>
      </c>
      <c r="H24" s="27">
        <f t="shared" si="1"/>
        <v>0</v>
      </c>
      <c r="I24" s="18"/>
    </row>
    <row r="25" spans="2:9" x14ac:dyDescent="0.25">
      <c r="B25" s="19" t="s">
        <v>33</v>
      </c>
      <c r="C25" s="20" t="s">
        <v>32</v>
      </c>
      <c r="D25" s="40"/>
      <c r="E25" s="40"/>
      <c r="F25" s="21"/>
      <c r="G25" s="26">
        <f t="shared" si="0"/>
        <v>0</v>
      </c>
      <c r="H25" s="27">
        <f t="shared" si="1"/>
        <v>0</v>
      </c>
      <c r="I25" s="18"/>
    </row>
    <row r="26" spans="2:9" x14ac:dyDescent="0.25">
      <c r="B26" s="19" t="s">
        <v>33</v>
      </c>
      <c r="C26" s="20" t="s">
        <v>32</v>
      </c>
      <c r="D26" s="40"/>
      <c r="E26" s="40"/>
      <c r="F26" s="21"/>
      <c r="G26" s="26">
        <f t="shared" si="0"/>
        <v>0</v>
      </c>
      <c r="H26" s="27">
        <f t="shared" si="1"/>
        <v>0</v>
      </c>
      <c r="I26" s="18"/>
    </row>
    <row r="27" spans="2:9" hidden="1" x14ac:dyDescent="0.25">
      <c r="B27" s="19" t="s">
        <v>33</v>
      </c>
      <c r="C27" s="20" t="s">
        <v>32</v>
      </c>
      <c r="D27" s="40"/>
      <c r="E27" s="40"/>
      <c r="F27" s="21"/>
      <c r="G27" s="26">
        <f t="shared" si="0"/>
        <v>0</v>
      </c>
      <c r="H27" s="27">
        <f t="shared" si="1"/>
        <v>0</v>
      </c>
      <c r="I27" s="18"/>
    </row>
    <row r="28" spans="2:9" hidden="1" x14ac:dyDescent="0.25">
      <c r="B28" s="19" t="s">
        <v>33</v>
      </c>
      <c r="C28" s="20" t="s">
        <v>32</v>
      </c>
      <c r="D28" s="40"/>
      <c r="E28" s="40"/>
      <c r="F28" s="21"/>
      <c r="G28" s="26">
        <f t="shared" si="0"/>
        <v>0</v>
      </c>
      <c r="H28" s="27">
        <f t="shared" si="1"/>
        <v>0</v>
      </c>
      <c r="I28" s="18"/>
    </row>
    <row r="29" spans="2:9" hidden="1" x14ac:dyDescent="0.25">
      <c r="B29" s="19" t="s">
        <v>33</v>
      </c>
      <c r="C29" s="20" t="s">
        <v>32</v>
      </c>
      <c r="D29" s="40"/>
      <c r="E29" s="40"/>
      <c r="F29" s="21"/>
      <c r="G29" s="26">
        <f t="shared" si="0"/>
        <v>0</v>
      </c>
      <c r="H29" s="27">
        <f t="shared" si="1"/>
        <v>0</v>
      </c>
      <c r="I29" s="18"/>
    </row>
    <row r="30" spans="2:9" hidden="1" x14ac:dyDescent="0.25">
      <c r="B30" s="19" t="s">
        <v>33</v>
      </c>
      <c r="C30" s="20" t="s">
        <v>32</v>
      </c>
      <c r="D30" s="40"/>
      <c r="E30" s="40"/>
      <c r="F30" s="21"/>
      <c r="G30" s="26">
        <f t="shared" si="0"/>
        <v>0</v>
      </c>
      <c r="H30" s="27">
        <f t="shared" si="1"/>
        <v>0</v>
      </c>
      <c r="I30" s="18"/>
    </row>
    <row r="31" spans="2:9" hidden="1" x14ac:dyDescent="0.25">
      <c r="B31" s="19" t="s">
        <v>33</v>
      </c>
      <c r="C31" s="20" t="s">
        <v>32</v>
      </c>
      <c r="D31" s="40"/>
      <c r="E31" s="40"/>
      <c r="F31" s="21"/>
      <c r="G31" s="26">
        <f t="shared" si="0"/>
        <v>0</v>
      </c>
      <c r="H31" s="27">
        <f t="shared" si="1"/>
        <v>0</v>
      </c>
      <c r="I31" s="18"/>
    </row>
    <row r="32" spans="2:9" hidden="1" x14ac:dyDescent="0.25">
      <c r="B32" s="19" t="s">
        <v>33</v>
      </c>
      <c r="C32" s="20" t="s">
        <v>32</v>
      </c>
      <c r="D32" s="40"/>
      <c r="E32" s="40"/>
      <c r="F32" s="21"/>
      <c r="G32" s="26">
        <f t="shared" si="0"/>
        <v>0</v>
      </c>
      <c r="H32" s="27">
        <f t="shared" si="1"/>
        <v>0</v>
      </c>
      <c r="I32" s="18"/>
    </row>
    <row r="33" spans="2:9" ht="9.75" customHeight="1" x14ac:dyDescent="0.25">
      <c r="B33" s="23"/>
      <c r="C33" s="23"/>
      <c r="D33" s="23"/>
      <c r="E33" s="23"/>
      <c r="F33" s="23"/>
      <c r="G33" s="23"/>
      <c r="H33" s="23"/>
      <c r="I33" s="24"/>
    </row>
    <row r="34" spans="2:9" x14ac:dyDescent="0.25">
      <c r="B34" s="41"/>
      <c r="C34" s="41"/>
      <c r="D34" s="107" t="s">
        <v>15</v>
      </c>
      <c r="E34" s="109"/>
      <c r="F34" s="101">
        <v>270000</v>
      </c>
      <c r="G34" s="102"/>
      <c r="H34" s="47"/>
      <c r="I34" s="24"/>
    </row>
    <row r="35" spans="2:9" ht="17.25" x14ac:dyDescent="0.25">
      <c r="B35" s="49" t="s">
        <v>39</v>
      </c>
      <c r="C35" s="46" t="s">
        <v>38</v>
      </c>
      <c r="D35" s="29"/>
      <c r="E35" s="29"/>
      <c r="F35" s="29" t="s">
        <v>36</v>
      </c>
      <c r="G35" s="29" t="s">
        <v>24</v>
      </c>
      <c r="H35" s="38"/>
      <c r="I35" s="50"/>
    </row>
    <row r="36" spans="2:9" x14ac:dyDescent="0.25">
      <c r="B36" s="19" t="s">
        <v>33</v>
      </c>
      <c r="C36" s="20" t="s">
        <v>32</v>
      </c>
      <c r="D36" s="40"/>
      <c r="E36" s="40"/>
      <c r="F36" s="73"/>
      <c r="G36" s="26">
        <f t="shared" ref="G36:G45" si="2">F36*$F$34</f>
        <v>0</v>
      </c>
      <c r="H36" s="27">
        <f t="shared" ref="H36:H44" si="3">SUM(E36,G36)</f>
        <v>0</v>
      </c>
      <c r="I36" s="18"/>
    </row>
    <row r="37" spans="2:9" ht="13.15" customHeight="1" x14ac:dyDescent="0.25">
      <c r="B37" s="19" t="s">
        <v>33</v>
      </c>
      <c r="C37" s="20" t="s">
        <v>32</v>
      </c>
      <c r="D37" s="40"/>
      <c r="E37" s="40"/>
      <c r="F37" s="73"/>
      <c r="G37" s="26">
        <f t="shared" si="2"/>
        <v>0</v>
      </c>
      <c r="H37" s="27">
        <f t="shared" ref="H37:H41" si="4">SUM(E37,G37)</f>
        <v>0</v>
      </c>
      <c r="I37" s="18"/>
    </row>
    <row r="38" spans="2:9" ht="13.5" customHeight="1" x14ac:dyDescent="0.25">
      <c r="B38" s="19" t="s">
        <v>33</v>
      </c>
      <c r="C38" s="20" t="s">
        <v>32</v>
      </c>
      <c r="D38" s="40"/>
      <c r="E38" s="40"/>
      <c r="F38" s="21"/>
      <c r="G38" s="26">
        <f t="shared" si="2"/>
        <v>0</v>
      </c>
      <c r="H38" s="27">
        <f t="shared" ref="H38" si="5">SUM(E38,G38)</f>
        <v>0</v>
      </c>
      <c r="I38" s="18"/>
    </row>
    <row r="39" spans="2:9" ht="13.5" customHeight="1" x14ac:dyDescent="0.25">
      <c r="B39" s="19" t="s">
        <v>33</v>
      </c>
      <c r="C39" s="20" t="s">
        <v>32</v>
      </c>
      <c r="D39" s="40"/>
      <c r="E39" s="40"/>
      <c r="F39" s="21"/>
      <c r="G39" s="26">
        <f t="shared" si="2"/>
        <v>0</v>
      </c>
      <c r="H39" s="27">
        <f t="shared" si="4"/>
        <v>0</v>
      </c>
      <c r="I39" s="18"/>
    </row>
    <row r="40" spans="2:9" ht="13.5" hidden="1" customHeight="1" x14ac:dyDescent="0.25">
      <c r="B40" s="19" t="s">
        <v>33</v>
      </c>
      <c r="C40" s="20" t="s">
        <v>32</v>
      </c>
      <c r="D40" s="40"/>
      <c r="E40" s="40"/>
      <c r="F40" s="21"/>
      <c r="G40" s="26">
        <f t="shared" si="2"/>
        <v>0</v>
      </c>
      <c r="H40" s="27">
        <f t="shared" ref="H40" si="6">SUM(E40,G40)</f>
        <v>0</v>
      </c>
      <c r="I40" s="18"/>
    </row>
    <row r="41" spans="2:9" ht="13.5" hidden="1" customHeight="1" x14ac:dyDescent="0.25">
      <c r="B41" s="19" t="s">
        <v>33</v>
      </c>
      <c r="C41" s="20" t="s">
        <v>32</v>
      </c>
      <c r="D41" s="40"/>
      <c r="E41" s="40"/>
      <c r="F41" s="21"/>
      <c r="G41" s="26">
        <f t="shared" si="2"/>
        <v>0</v>
      </c>
      <c r="H41" s="27">
        <f t="shared" si="4"/>
        <v>0</v>
      </c>
      <c r="I41" s="18"/>
    </row>
    <row r="42" spans="2:9" ht="13.5" hidden="1" customHeight="1" x14ac:dyDescent="0.25">
      <c r="B42" s="19" t="s">
        <v>33</v>
      </c>
      <c r="C42" s="20" t="s">
        <v>32</v>
      </c>
      <c r="D42" s="40"/>
      <c r="E42" s="40"/>
      <c r="F42" s="21"/>
      <c r="G42" s="26">
        <f t="shared" si="2"/>
        <v>0</v>
      </c>
      <c r="H42" s="27">
        <f t="shared" si="3"/>
        <v>0</v>
      </c>
      <c r="I42" s="18"/>
    </row>
    <row r="43" spans="2:9" ht="21.75" hidden="1" customHeight="1" x14ac:dyDescent="0.25">
      <c r="B43" s="19" t="s">
        <v>33</v>
      </c>
      <c r="C43" s="20" t="s">
        <v>32</v>
      </c>
      <c r="D43" s="40"/>
      <c r="E43" s="40"/>
      <c r="F43" s="21"/>
      <c r="G43" s="26">
        <f t="shared" si="2"/>
        <v>0</v>
      </c>
      <c r="H43" s="27">
        <f t="shared" ref="H43" si="7">SUM(E43,G43)</f>
        <v>0</v>
      </c>
      <c r="I43" s="18"/>
    </row>
    <row r="44" spans="2:9" hidden="1" x14ac:dyDescent="0.25">
      <c r="B44" s="19" t="s">
        <v>33</v>
      </c>
      <c r="C44" s="20" t="s">
        <v>32</v>
      </c>
      <c r="D44" s="40"/>
      <c r="E44" s="40"/>
      <c r="F44" s="21"/>
      <c r="G44" s="26">
        <f t="shared" si="2"/>
        <v>0</v>
      </c>
      <c r="H44" s="27">
        <f t="shared" si="3"/>
        <v>0</v>
      </c>
      <c r="I44" s="18"/>
    </row>
    <row r="45" spans="2:9" hidden="1" x14ac:dyDescent="0.25">
      <c r="B45" s="19" t="s">
        <v>33</v>
      </c>
      <c r="C45" s="20" t="s">
        <v>32</v>
      </c>
      <c r="D45" s="40"/>
      <c r="E45" s="40"/>
      <c r="F45" s="21"/>
      <c r="G45" s="26">
        <f t="shared" si="2"/>
        <v>0</v>
      </c>
      <c r="H45" s="27">
        <f t="shared" ref="H45" si="8">SUM(E45,G45)</f>
        <v>0</v>
      </c>
      <c r="I45" s="18"/>
    </row>
    <row r="46" spans="2:9" ht="9.75" customHeight="1" x14ac:dyDescent="0.25">
      <c r="B46" s="23"/>
      <c r="C46" s="23"/>
      <c r="D46" s="23"/>
      <c r="E46" s="23"/>
      <c r="F46" s="23"/>
      <c r="G46" s="23"/>
      <c r="H46" s="23"/>
      <c r="I46" s="24"/>
    </row>
    <row r="47" spans="2:9" ht="21.75" customHeight="1" x14ac:dyDescent="0.25">
      <c r="B47" s="41"/>
      <c r="C47" s="41"/>
      <c r="D47" s="107" t="s">
        <v>0</v>
      </c>
      <c r="E47" s="109"/>
      <c r="F47" s="101">
        <v>210000</v>
      </c>
      <c r="G47" s="102"/>
      <c r="H47" s="47"/>
      <c r="I47" s="24"/>
    </row>
    <row r="48" spans="2:9" ht="17.25" x14ac:dyDescent="0.25">
      <c r="B48" s="49" t="s">
        <v>39</v>
      </c>
      <c r="C48" s="46" t="s">
        <v>38</v>
      </c>
      <c r="D48" s="29"/>
      <c r="E48" s="29"/>
      <c r="F48" s="29" t="s">
        <v>36</v>
      </c>
      <c r="G48" s="29" t="s">
        <v>24</v>
      </c>
      <c r="H48" s="38"/>
      <c r="I48" s="50"/>
    </row>
    <row r="49" spans="2:9" x14ac:dyDescent="0.25">
      <c r="B49" s="19" t="s">
        <v>33</v>
      </c>
      <c r="C49" s="20" t="s">
        <v>32</v>
      </c>
      <c r="D49" s="40"/>
      <c r="E49" s="40"/>
      <c r="F49" s="73"/>
      <c r="G49" s="26">
        <f t="shared" ref="G49:G58" si="9">F49*$F$47</f>
        <v>0</v>
      </c>
      <c r="H49" s="27">
        <f t="shared" ref="H49:H58" si="10">SUM(E49,G49)</f>
        <v>0</v>
      </c>
      <c r="I49" s="18"/>
    </row>
    <row r="50" spans="2:9" x14ac:dyDescent="0.25">
      <c r="B50" s="19" t="s">
        <v>33</v>
      </c>
      <c r="C50" s="20" t="s">
        <v>32</v>
      </c>
      <c r="D50" s="40"/>
      <c r="E50" s="40"/>
      <c r="F50" s="73"/>
      <c r="G50" s="26">
        <f t="shared" si="9"/>
        <v>0</v>
      </c>
      <c r="H50" s="27">
        <f t="shared" si="10"/>
        <v>0</v>
      </c>
      <c r="I50" s="18"/>
    </row>
    <row r="51" spans="2:9" x14ac:dyDescent="0.25">
      <c r="B51" s="19" t="s">
        <v>33</v>
      </c>
      <c r="C51" s="20" t="s">
        <v>32</v>
      </c>
      <c r="D51" s="40"/>
      <c r="E51" s="40"/>
      <c r="F51" s="21"/>
      <c r="G51" s="26">
        <f t="shared" si="9"/>
        <v>0</v>
      </c>
      <c r="H51" s="27">
        <f t="shared" ref="H51" si="11">SUM(E51,G51)</f>
        <v>0</v>
      </c>
      <c r="I51" s="18"/>
    </row>
    <row r="52" spans="2:9" x14ac:dyDescent="0.25">
      <c r="B52" s="19" t="s">
        <v>33</v>
      </c>
      <c r="C52" s="20" t="s">
        <v>32</v>
      </c>
      <c r="D52" s="40"/>
      <c r="E52" s="40"/>
      <c r="F52" s="21"/>
      <c r="G52" s="26">
        <f t="shared" si="9"/>
        <v>0</v>
      </c>
      <c r="H52" s="27">
        <f t="shared" si="10"/>
        <v>0</v>
      </c>
      <c r="I52" s="18"/>
    </row>
    <row r="53" spans="2:9" hidden="1" x14ac:dyDescent="0.25">
      <c r="B53" s="19" t="s">
        <v>33</v>
      </c>
      <c r="C53" s="20" t="s">
        <v>32</v>
      </c>
      <c r="D53" s="40"/>
      <c r="E53" s="40"/>
      <c r="F53" s="21"/>
      <c r="G53" s="26">
        <f t="shared" si="9"/>
        <v>0</v>
      </c>
      <c r="H53" s="27">
        <f t="shared" ref="H53" si="12">SUM(E53,G53)</f>
        <v>0</v>
      </c>
      <c r="I53" s="18"/>
    </row>
    <row r="54" spans="2:9" hidden="1" x14ac:dyDescent="0.25">
      <c r="B54" s="19" t="s">
        <v>33</v>
      </c>
      <c r="C54" s="20" t="s">
        <v>32</v>
      </c>
      <c r="D54" s="40"/>
      <c r="E54" s="40"/>
      <c r="F54" s="21"/>
      <c r="G54" s="26">
        <f t="shared" si="9"/>
        <v>0</v>
      </c>
      <c r="H54" s="27">
        <f t="shared" si="10"/>
        <v>0</v>
      </c>
      <c r="I54" s="18"/>
    </row>
    <row r="55" spans="2:9" hidden="1" x14ac:dyDescent="0.25">
      <c r="B55" s="19" t="s">
        <v>33</v>
      </c>
      <c r="C55" s="20" t="s">
        <v>32</v>
      </c>
      <c r="D55" s="40"/>
      <c r="E55" s="40"/>
      <c r="F55" s="21"/>
      <c r="G55" s="26">
        <f t="shared" si="9"/>
        <v>0</v>
      </c>
      <c r="H55" s="27">
        <f t="shared" ref="H55" si="13">SUM(E55,G55)</f>
        <v>0</v>
      </c>
      <c r="I55" s="18"/>
    </row>
    <row r="56" spans="2:9" hidden="1" x14ac:dyDescent="0.25">
      <c r="B56" s="19" t="s">
        <v>33</v>
      </c>
      <c r="C56" s="20" t="s">
        <v>32</v>
      </c>
      <c r="D56" s="40"/>
      <c r="E56" s="40"/>
      <c r="F56" s="21"/>
      <c r="G56" s="26">
        <f t="shared" si="9"/>
        <v>0</v>
      </c>
      <c r="H56" s="27">
        <f t="shared" si="10"/>
        <v>0</v>
      </c>
      <c r="I56" s="18"/>
    </row>
    <row r="57" spans="2:9" hidden="1" x14ac:dyDescent="0.25">
      <c r="B57" s="19" t="s">
        <v>33</v>
      </c>
      <c r="C57" s="20" t="s">
        <v>32</v>
      </c>
      <c r="D57" s="40"/>
      <c r="E57" s="40"/>
      <c r="F57" s="21"/>
      <c r="G57" s="26">
        <f t="shared" si="9"/>
        <v>0</v>
      </c>
      <c r="H57" s="27">
        <f t="shared" ref="H57" si="14">SUM(E57,G57)</f>
        <v>0</v>
      </c>
      <c r="I57" s="18"/>
    </row>
    <row r="58" spans="2:9" hidden="1" x14ac:dyDescent="0.25">
      <c r="B58" s="19" t="s">
        <v>33</v>
      </c>
      <c r="C58" s="20" t="s">
        <v>32</v>
      </c>
      <c r="D58" s="40"/>
      <c r="E58" s="40"/>
      <c r="F58" s="21"/>
      <c r="G58" s="26">
        <f t="shared" si="9"/>
        <v>0</v>
      </c>
      <c r="H58" s="27">
        <f t="shared" si="10"/>
        <v>0</v>
      </c>
      <c r="I58" s="18"/>
    </row>
    <row r="59" spans="2:9" ht="9.75" customHeight="1" x14ac:dyDescent="0.25">
      <c r="B59" s="23"/>
      <c r="C59" s="23"/>
      <c r="D59" s="23"/>
      <c r="E59" s="23"/>
      <c r="F59" s="23"/>
      <c r="G59" s="23"/>
      <c r="H59" s="23"/>
      <c r="I59" s="24"/>
    </row>
    <row r="60" spans="2:9" ht="12.75" customHeight="1" x14ac:dyDescent="0.25">
      <c r="B60" s="41"/>
      <c r="C60" s="94" t="s">
        <v>25</v>
      </c>
      <c r="D60" s="95"/>
      <c r="E60" s="96"/>
      <c r="F60" s="101">
        <v>170000</v>
      </c>
      <c r="G60" s="102"/>
      <c r="H60" s="47"/>
      <c r="I60" s="24"/>
    </row>
    <row r="61" spans="2:9" ht="17.25" x14ac:dyDescent="0.25">
      <c r="B61" s="49" t="s">
        <v>39</v>
      </c>
      <c r="C61" s="46" t="s">
        <v>38</v>
      </c>
      <c r="D61" s="29"/>
      <c r="E61" s="29"/>
      <c r="F61" s="29" t="s">
        <v>36</v>
      </c>
      <c r="G61" s="29" t="s">
        <v>24</v>
      </c>
      <c r="H61" s="38"/>
      <c r="I61" s="50"/>
    </row>
    <row r="62" spans="2:9" x14ac:dyDescent="0.25">
      <c r="B62" s="19" t="s">
        <v>33</v>
      </c>
      <c r="C62" s="20" t="s">
        <v>32</v>
      </c>
      <c r="D62" s="40"/>
      <c r="E62" s="40"/>
      <c r="F62" s="73"/>
      <c r="G62" s="26">
        <f t="shared" ref="G62:G71" si="15">F62*$F$60</f>
        <v>0</v>
      </c>
      <c r="H62" s="27">
        <f t="shared" ref="H62:H71" si="16">SUM(E62,G62)</f>
        <v>0</v>
      </c>
      <c r="I62" s="18"/>
    </row>
    <row r="63" spans="2:9" x14ac:dyDescent="0.25">
      <c r="B63" s="19" t="s">
        <v>33</v>
      </c>
      <c r="C63" s="20" t="s">
        <v>32</v>
      </c>
      <c r="D63" s="40"/>
      <c r="E63" s="40"/>
      <c r="F63" s="73"/>
      <c r="G63" s="26">
        <f t="shared" si="15"/>
        <v>0</v>
      </c>
      <c r="H63" s="27">
        <f t="shared" si="16"/>
        <v>0</v>
      </c>
      <c r="I63" s="22"/>
    </row>
    <row r="64" spans="2:9" x14ac:dyDescent="0.25">
      <c r="B64" s="19" t="s">
        <v>33</v>
      </c>
      <c r="C64" s="20" t="s">
        <v>32</v>
      </c>
      <c r="D64" s="40"/>
      <c r="E64" s="40"/>
      <c r="F64" s="21"/>
      <c r="G64" s="26">
        <f t="shared" si="15"/>
        <v>0</v>
      </c>
      <c r="H64" s="27">
        <f t="shared" ref="H64" si="17">SUM(E64,G64)</f>
        <v>0</v>
      </c>
      <c r="I64" s="22"/>
    </row>
    <row r="65" spans="2:9" x14ac:dyDescent="0.25">
      <c r="B65" s="19" t="s">
        <v>33</v>
      </c>
      <c r="C65" s="20" t="s">
        <v>32</v>
      </c>
      <c r="D65" s="40"/>
      <c r="E65" s="40"/>
      <c r="F65" s="21"/>
      <c r="G65" s="26">
        <f t="shared" si="15"/>
        <v>0</v>
      </c>
      <c r="H65" s="27">
        <f t="shared" si="16"/>
        <v>0</v>
      </c>
      <c r="I65" s="22"/>
    </row>
    <row r="66" spans="2:9" hidden="1" x14ac:dyDescent="0.25">
      <c r="B66" s="19" t="s">
        <v>33</v>
      </c>
      <c r="C66" s="20" t="s">
        <v>32</v>
      </c>
      <c r="D66" s="40"/>
      <c r="E66" s="40"/>
      <c r="F66" s="21"/>
      <c r="G66" s="26">
        <f t="shared" si="15"/>
        <v>0</v>
      </c>
      <c r="H66" s="27">
        <f t="shared" ref="H66" si="18">SUM(E66,G66)</f>
        <v>0</v>
      </c>
      <c r="I66" s="22"/>
    </row>
    <row r="67" spans="2:9" hidden="1" x14ac:dyDescent="0.25">
      <c r="B67" s="19" t="s">
        <v>33</v>
      </c>
      <c r="C67" s="20" t="s">
        <v>32</v>
      </c>
      <c r="D67" s="40"/>
      <c r="E67" s="40"/>
      <c r="F67" s="21"/>
      <c r="G67" s="26">
        <f t="shared" si="15"/>
        <v>0</v>
      </c>
      <c r="H67" s="27">
        <f t="shared" si="16"/>
        <v>0</v>
      </c>
      <c r="I67" s="22"/>
    </row>
    <row r="68" spans="2:9" hidden="1" x14ac:dyDescent="0.25">
      <c r="B68" s="19" t="s">
        <v>33</v>
      </c>
      <c r="C68" s="20" t="s">
        <v>32</v>
      </c>
      <c r="D68" s="40"/>
      <c r="E68" s="40"/>
      <c r="F68" s="21"/>
      <c r="G68" s="26">
        <f t="shared" si="15"/>
        <v>0</v>
      </c>
      <c r="H68" s="27">
        <f t="shared" ref="H68" si="19">SUM(E68,G68)</f>
        <v>0</v>
      </c>
      <c r="I68" s="22"/>
    </row>
    <row r="69" spans="2:9" hidden="1" x14ac:dyDescent="0.25">
      <c r="B69" s="19" t="s">
        <v>33</v>
      </c>
      <c r="C69" s="20" t="s">
        <v>32</v>
      </c>
      <c r="D69" s="40"/>
      <c r="E69" s="40"/>
      <c r="F69" s="21"/>
      <c r="G69" s="26">
        <f t="shared" si="15"/>
        <v>0</v>
      </c>
      <c r="H69" s="27">
        <f t="shared" si="16"/>
        <v>0</v>
      </c>
      <c r="I69" s="22"/>
    </row>
    <row r="70" spans="2:9" hidden="1" x14ac:dyDescent="0.25">
      <c r="B70" s="19" t="s">
        <v>33</v>
      </c>
      <c r="C70" s="20" t="s">
        <v>32</v>
      </c>
      <c r="D70" s="40"/>
      <c r="E70" s="40"/>
      <c r="F70" s="21"/>
      <c r="G70" s="26">
        <f t="shared" si="15"/>
        <v>0</v>
      </c>
      <c r="H70" s="27">
        <f t="shared" ref="H70" si="20">SUM(E70,G70)</f>
        <v>0</v>
      </c>
      <c r="I70" s="22"/>
    </row>
    <row r="71" spans="2:9" hidden="1" x14ac:dyDescent="0.25">
      <c r="B71" s="19" t="s">
        <v>33</v>
      </c>
      <c r="C71" s="20" t="s">
        <v>32</v>
      </c>
      <c r="D71" s="40"/>
      <c r="E71" s="40"/>
      <c r="F71" s="21"/>
      <c r="G71" s="26">
        <f t="shared" si="15"/>
        <v>0</v>
      </c>
      <c r="H71" s="27">
        <f t="shared" si="16"/>
        <v>0</v>
      </c>
      <c r="I71" s="22"/>
    </row>
    <row r="72" spans="2:9" ht="9.75" customHeight="1" x14ac:dyDescent="0.25">
      <c r="B72" s="23"/>
      <c r="C72" s="23"/>
      <c r="D72" s="23"/>
      <c r="E72" s="23"/>
      <c r="F72" s="23"/>
      <c r="G72" s="23"/>
      <c r="H72" s="23"/>
      <c r="I72" s="24"/>
    </row>
    <row r="73" spans="2:9" x14ac:dyDescent="0.25">
      <c r="B73" s="51" t="s">
        <v>41</v>
      </c>
      <c r="C73" s="52"/>
      <c r="D73" s="52"/>
      <c r="E73" s="53"/>
      <c r="F73" s="52"/>
      <c r="G73" s="53">
        <f>SUM(G22:G72)</f>
        <v>0</v>
      </c>
      <c r="H73" s="53">
        <f>SUM(H22:H72)</f>
        <v>0</v>
      </c>
      <c r="I73" s="54"/>
    </row>
    <row r="74" spans="2:9" x14ac:dyDescent="0.25">
      <c r="B74" s="55"/>
      <c r="C74" s="55"/>
      <c r="D74" s="55"/>
      <c r="E74" s="55"/>
      <c r="F74" s="55"/>
      <c r="G74" s="55"/>
      <c r="H74" s="55"/>
      <c r="I74" s="54"/>
    </row>
    <row r="75" spans="2:9" x14ac:dyDescent="0.25">
      <c r="B75" s="41"/>
      <c r="C75" s="41"/>
      <c r="D75" s="107" t="s">
        <v>5</v>
      </c>
      <c r="E75" s="108"/>
      <c r="F75" s="108"/>
      <c r="G75" s="108"/>
      <c r="H75" s="109"/>
      <c r="I75" s="54"/>
    </row>
    <row r="76" spans="2:9" x14ac:dyDescent="0.25">
      <c r="B76" s="92" t="s">
        <v>33</v>
      </c>
      <c r="C76" s="86" t="s">
        <v>8</v>
      </c>
      <c r="D76" s="87"/>
      <c r="E76" s="88"/>
      <c r="F76" s="29"/>
      <c r="G76" s="29" t="s">
        <v>18</v>
      </c>
      <c r="H76" s="38"/>
      <c r="I76" s="54"/>
    </row>
    <row r="77" spans="2:9" ht="15" x14ac:dyDescent="0.25">
      <c r="B77" s="93"/>
      <c r="C77" s="89"/>
      <c r="D77" s="90"/>
      <c r="E77" s="91"/>
      <c r="F77" s="29"/>
      <c r="G77" s="29" t="s">
        <v>24</v>
      </c>
      <c r="H77" s="38"/>
      <c r="I77" s="50"/>
    </row>
    <row r="78" spans="2:9" x14ac:dyDescent="0.25">
      <c r="B78" s="19" t="s">
        <v>33</v>
      </c>
      <c r="C78" s="75" t="s">
        <v>8</v>
      </c>
      <c r="D78" s="76"/>
      <c r="E78" s="77"/>
      <c r="G78" s="17"/>
      <c r="H78" s="27">
        <f t="shared" ref="H78" si="21">SUM(E78,G78)</f>
        <v>0</v>
      </c>
      <c r="I78" s="18"/>
    </row>
    <row r="79" spans="2:9" x14ac:dyDescent="0.25">
      <c r="B79" s="19" t="s">
        <v>33</v>
      </c>
      <c r="C79" s="75" t="s">
        <v>8</v>
      </c>
      <c r="D79" s="76"/>
      <c r="E79" s="77"/>
      <c r="G79" s="17"/>
      <c r="H79" s="27">
        <f t="shared" ref="H79:H83" si="22">SUM(E79,G79)</f>
        <v>0</v>
      </c>
      <c r="I79" s="18"/>
    </row>
    <row r="80" spans="2:9" x14ac:dyDescent="0.25">
      <c r="B80" s="19" t="s">
        <v>33</v>
      </c>
      <c r="C80" s="75" t="s">
        <v>8</v>
      </c>
      <c r="D80" s="76"/>
      <c r="E80" s="77"/>
      <c r="G80" s="17"/>
      <c r="H80" s="27">
        <f t="shared" ref="H80" si="23">SUM(E80,G80)</f>
        <v>0</v>
      </c>
      <c r="I80" s="18"/>
    </row>
    <row r="81" spans="2:9" x14ac:dyDescent="0.25">
      <c r="B81" s="19" t="s">
        <v>33</v>
      </c>
      <c r="C81" s="75" t="s">
        <v>8</v>
      </c>
      <c r="D81" s="76"/>
      <c r="E81" s="77"/>
      <c r="G81" s="17"/>
      <c r="H81" s="27">
        <f t="shared" si="22"/>
        <v>0</v>
      </c>
      <c r="I81" s="18"/>
    </row>
    <row r="82" spans="2:9" hidden="1" x14ac:dyDescent="0.25">
      <c r="B82" s="19" t="s">
        <v>33</v>
      </c>
      <c r="C82" s="75" t="s">
        <v>8</v>
      </c>
      <c r="D82" s="76"/>
      <c r="E82" s="77"/>
      <c r="G82" s="17"/>
      <c r="H82" s="27">
        <f t="shared" ref="H82" si="24">SUM(E82,G82)</f>
        <v>0</v>
      </c>
      <c r="I82" s="18"/>
    </row>
    <row r="83" spans="2:9" hidden="1" x14ac:dyDescent="0.25">
      <c r="B83" s="19" t="s">
        <v>33</v>
      </c>
      <c r="C83" s="75" t="s">
        <v>8</v>
      </c>
      <c r="D83" s="76"/>
      <c r="E83" s="77"/>
      <c r="G83" s="17"/>
      <c r="H83" s="27">
        <f t="shared" si="22"/>
        <v>0</v>
      </c>
      <c r="I83" s="18"/>
    </row>
    <row r="84" spans="2:9" hidden="1" x14ac:dyDescent="0.25">
      <c r="B84" s="19" t="s">
        <v>33</v>
      </c>
      <c r="C84" s="75" t="s">
        <v>8</v>
      </c>
      <c r="D84" s="76"/>
      <c r="E84" s="77"/>
      <c r="G84" s="17"/>
      <c r="H84" s="27">
        <f t="shared" ref="H84:H86" si="25">SUM(E84,G84)</f>
        <v>0</v>
      </c>
      <c r="I84" s="18"/>
    </row>
    <row r="85" spans="2:9" hidden="1" x14ac:dyDescent="0.25">
      <c r="B85" s="19" t="s">
        <v>33</v>
      </c>
      <c r="C85" s="75" t="s">
        <v>8</v>
      </c>
      <c r="D85" s="76"/>
      <c r="E85" s="77"/>
      <c r="G85" s="17"/>
      <c r="H85" s="27">
        <f t="shared" ref="H85" si="26">SUM(E85,G85)</f>
        <v>0</v>
      </c>
      <c r="I85" s="22"/>
    </row>
    <row r="86" spans="2:9" hidden="1" x14ac:dyDescent="0.25">
      <c r="B86" s="19" t="s">
        <v>33</v>
      </c>
      <c r="C86" s="75" t="s">
        <v>8</v>
      </c>
      <c r="D86" s="76"/>
      <c r="E86" s="77"/>
      <c r="G86" s="17"/>
      <c r="H86" s="27">
        <f t="shared" si="25"/>
        <v>0</v>
      </c>
      <c r="I86" s="22"/>
    </row>
    <row r="87" spans="2:9" hidden="1" x14ac:dyDescent="0.25">
      <c r="B87" s="19" t="s">
        <v>33</v>
      </c>
      <c r="C87" s="75" t="s">
        <v>8</v>
      </c>
      <c r="D87" s="76"/>
      <c r="E87" s="77"/>
      <c r="G87" s="17"/>
      <c r="H87" s="27">
        <f t="shared" ref="H87" si="27">SUM(E87,G87)</f>
        <v>0</v>
      </c>
      <c r="I87" s="22"/>
    </row>
    <row r="88" spans="2:9" ht="9.75" customHeight="1" x14ac:dyDescent="0.25">
      <c r="B88" s="23"/>
      <c r="C88" s="23"/>
      <c r="D88" s="23"/>
      <c r="E88" s="23"/>
      <c r="F88" s="23"/>
      <c r="G88" s="23"/>
      <c r="H88" s="23"/>
      <c r="I88" s="24"/>
    </row>
    <row r="89" spans="2:9" x14ac:dyDescent="0.25">
      <c r="B89" s="51" t="s">
        <v>37</v>
      </c>
      <c r="C89" s="52"/>
      <c r="D89" s="52"/>
      <c r="E89" s="53"/>
      <c r="F89" s="52"/>
      <c r="G89" s="53">
        <f>SUM(G77:G88)</f>
        <v>0</v>
      </c>
      <c r="H89" s="53">
        <f>SUM(H77:H88)</f>
        <v>0</v>
      </c>
      <c r="I89" s="24"/>
    </row>
    <row r="90" spans="2:9" ht="15.75" x14ac:dyDescent="0.25">
      <c r="B90" s="56" t="s">
        <v>23</v>
      </c>
      <c r="C90" s="30"/>
      <c r="D90" s="52"/>
      <c r="E90" s="45"/>
      <c r="F90" s="57"/>
      <c r="G90" s="45">
        <f>+G89+G73</f>
        <v>0</v>
      </c>
      <c r="H90" s="45">
        <f>+H89+H73</f>
        <v>0</v>
      </c>
      <c r="I90" s="58"/>
    </row>
    <row r="91" spans="2:9" x14ac:dyDescent="0.25">
      <c r="B91" s="59" t="s">
        <v>29</v>
      </c>
      <c r="E91" s="61">
        <f>SUM(E23:E33,E36:E46,E49:E59,E62:E72,E78:E88)-E90</f>
        <v>0</v>
      </c>
      <c r="G91" s="61">
        <f>SUM(G23:G33,G36:G46,G49:G59,G62:G72,G78:G88)-G90</f>
        <v>0</v>
      </c>
      <c r="H91" s="61">
        <f>SUM(H23:H33,H36:H46,H49:H59,H62:H72,H78:H88)-H90</f>
        <v>0</v>
      </c>
    </row>
    <row r="92" spans="2:9" x14ac:dyDescent="0.25">
      <c r="B92" s="59" t="s">
        <v>80</v>
      </c>
    </row>
    <row r="93" spans="2:9" x14ac:dyDescent="0.25">
      <c r="B93" s="59" t="s">
        <v>30</v>
      </c>
    </row>
    <row r="94" spans="2:9" ht="29.45" customHeight="1" x14ac:dyDescent="0.25">
      <c r="B94" s="100" t="s">
        <v>31</v>
      </c>
      <c r="C94" s="100"/>
      <c r="D94" s="100"/>
      <c r="E94" s="100"/>
      <c r="F94" s="100"/>
      <c r="G94" s="100"/>
      <c r="H94" s="100"/>
      <c r="I94" s="60"/>
    </row>
    <row r="95" spans="2:9" x14ac:dyDescent="0.25">
      <c r="B95" s="59" t="s">
        <v>40</v>
      </c>
    </row>
    <row r="96" spans="2:9" x14ac:dyDescent="0.25">
      <c r="B96" s="59" t="s">
        <v>79</v>
      </c>
    </row>
  </sheetData>
  <sheetProtection password="8644" sheet="1" objects="1" scenarios="1" formatRows="0"/>
  <mergeCells count="34">
    <mergeCell ref="C4:I4"/>
    <mergeCell ref="C5:I5"/>
    <mergeCell ref="C6:I6"/>
    <mergeCell ref="F20:G20"/>
    <mergeCell ref="B94:H94"/>
    <mergeCell ref="F21:G21"/>
    <mergeCell ref="B19:I19"/>
    <mergeCell ref="B10:I10"/>
    <mergeCell ref="D75:H75"/>
    <mergeCell ref="D34:E34"/>
    <mergeCell ref="F34:G34"/>
    <mergeCell ref="D47:E47"/>
    <mergeCell ref="F47:G47"/>
    <mergeCell ref="F60:G60"/>
    <mergeCell ref="D20:E20"/>
    <mergeCell ref="D21:E21"/>
    <mergeCell ref="B76:B77"/>
    <mergeCell ref="C60:E60"/>
    <mergeCell ref="C79:E79"/>
    <mergeCell ref="C80:E80"/>
    <mergeCell ref="C81:E81"/>
    <mergeCell ref="C87:E87"/>
    <mergeCell ref="D11:E11"/>
    <mergeCell ref="D12:E12"/>
    <mergeCell ref="C82:E82"/>
    <mergeCell ref="C83:E83"/>
    <mergeCell ref="C84:E84"/>
    <mergeCell ref="C85:E85"/>
    <mergeCell ref="C86:E86"/>
    <mergeCell ref="D13:E13"/>
    <mergeCell ref="D14:E14"/>
    <mergeCell ref="D15:E15"/>
    <mergeCell ref="C76:E77"/>
    <mergeCell ref="C78:E78"/>
  </mergeCells>
  <conditionalFormatting sqref="E91">
    <cfRule type="expression" dxfId="6" priority="6">
      <formula>E91&lt;&gt;0</formula>
    </cfRule>
  </conditionalFormatting>
  <conditionalFormatting sqref="G91">
    <cfRule type="expression" dxfId="5" priority="5">
      <formula>$E$91&lt;&gt;0</formula>
    </cfRule>
  </conditionalFormatting>
  <conditionalFormatting sqref="H91">
    <cfRule type="expression" dxfId="4" priority="4">
      <formula>$E$91&lt;&gt;0</formula>
    </cfRule>
  </conditionalFormatting>
  <conditionalFormatting sqref="G91">
    <cfRule type="expression" dxfId="3" priority="3">
      <formula>G91&lt;&gt;0</formula>
    </cfRule>
  </conditionalFormatting>
  <conditionalFormatting sqref="H91">
    <cfRule type="expression" dxfId="2" priority="2">
      <formula>$E$91&lt;&gt;0</formula>
    </cfRule>
  </conditionalFormatting>
  <conditionalFormatting sqref="H91">
    <cfRule type="expression" dxfId="1" priority="1">
      <formula>H91&lt;&gt;0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rowBreaks count="2" manualBreakCount="2">
    <brk id="18" min="1" max="8" man="1"/>
    <brk id="73" min="1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8"/>
  <sheetViews>
    <sheetView workbookViewId="0">
      <selection activeCell="D7" sqref="D7"/>
    </sheetView>
  </sheetViews>
  <sheetFormatPr defaultRowHeight="15" x14ac:dyDescent="0.25"/>
  <cols>
    <col min="1" max="1" width="53.140625" customWidth="1"/>
    <col min="2" max="2" width="38" customWidth="1"/>
    <col min="3" max="3" width="17.28515625" customWidth="1"/>
    <col min="4" max="4" width="19" customWidth="1"/>
  </cols>
  <sheetData>
    <row r="1" spans="1:11" s="1" customFormat="1" ht="27.75" x14ac:dyDescent="0.45">
      <c r="A1" s="110" t="s">
        <v>6</v>
      </c>
      <c r="B1" s="111"/>
      <c r="C1" s="111"/>
      <c r="D1" s="112"/>
      <c r="E1" s="2"/>
      <c r="F1" s="2"/>
      <c r="G1" s="2"/>
      <c r="H1" s="2"/>
      <c r="I1" s="2"/>
      <c r="J1" s="2"/>
      <c r="K1" s="2"/>
    </row>
    <row r="2" spans="1:11" s="1" customFormat="1" x14ac:dyDescent="0.3">
      <c r="A2" s="3" t="s">
        <v>7</v>
      </c>
      <c r="B2" s="4" t="s">
        <v>8</v>
      </c>
      <c r="C2" s="3" t="s">
        <v>9</v>
      </c>
      <c r="D2" s="3" t="s">
        <v>10</v>
      </c>
    </row>
    <row r="3" spans="1:11" s="1" customFormat="1" x14ac:dyDescent="0.3">
      <c r="A3" s="62"/>
      <c r="B3" s="63"/>
      <c r="C3" s="64"/>
      <c r="D3" s="65"/>
      <c r="E3" s="74" t="str">
        <f>IF(D3&lt;C3,"Check dates","")</f>
        <v/>
      </c>
    </row>
    <row r="4" spans="1:11" s="1" customFormat="1" x14ac:dyDescent="0.3">
      <c r="A4" s="62"/>
      <c r="B4" s="66"/>
      <c r="C4" s="64"/>
      <c r="D4" s="65"/>
      <c r="E4" s="74" t="str">
        <f t="shared" ref="E4:E18" si="0">IF(D4&lt;C4,"Check dates","")</f>
        <v/>
      </c>
    </row>
    <row r="5" spans="1:11" s="1" customFormat="1" x14ac:dyDescent="0.3">
      <c r="A5" s="62"/>
      <c r="B5" s="66"/>
      <c r="C5" s="64"/>
      <c r="D5" s="65"/>
      <c r="E5" s="74" t="str">
        <f t="shared" si="0"/>
        <v/>
      </c>
    </row>
    <row r="6" spans="1:11" s="1" customFormat="1" x14ac:dyDescent="0.3">
      <c r="A6" s="62"/>
      <c r="B6" s="66"/>
      <c r="C6" s="64"/>
      <c r="D6" s="65"/>
      <c r="E6" s="74" t="str">
        <f t="shared" si="0"/>
        <v/>
      </c>
    </row>
    <row r="7" spans="1:11" s="1" customFormat="1" x14ac:dyDescent="0.3">
      <c r="A7" s="62"/>
      <c r="B7" s="66"/>
      <c r="C7" s="64"/>
      <c r="D7" s="65"/>
      <c r="E7" s="74" t="str">
        <f t="shared" si="0"/>
        <v/>
      </c>
    </row>
    <row r="8" spans="1:11" s="1" customFormat="1" x14ac:dyDescent="0.3">
      <c r="A8" s="62"/>
      <c r="B8" s="67"/>
      <c r="C8" s="64"/>
      <c r="D8" s="65"/>
      <c r="E8" s="74" t="str">
        <f t="shared" si="0"/>
        <v/>
      </c>
    </row>
    <row r="9" spans="1:11" s="1" customFormat="1" x14ac:dyDescent="0.3">
      <c r="A9" s="62"/>
      <c r="B9" s="67"/>
      <c r="C9" s="64"/>
      <c r="D9" s="65"/>
      <c r="E9" s="74" t="str">
        <f t="shared" si="0"/>
        <v/>
      </c>
    </row>
    <row r="10" spans="1:11" s="1" customFormat="1" x14ac:dyDescent="0.3">
      <c r="A10" s="62"/>
      <c r="B10" s="67"/>
      <c r="C10" s="64"/>
      <c r="D10" s="65"/>
      <c r="E10" s="74" t="str">
        <f t="shared" si="0"/>
        <v/>
      </c>
    </row>
    <row r="11" spans="1:11" s="1" customFormat="1" x14ac:dyDescent="0.3">
      <c r="A11" s="62"/>
      <c r="B11" s="67"/>
      <c r="C11" s="64"/>
      <c r="D11" s="65"/>
      <c r="E11" s="74" t="str">
        <f t="shared" si="0"/>
        <v/>
      </c>
    </row>
    <row r="12" spans="1:11" s="1" customFormat="1" x14ac:dyDescent="0.3">
      <c r="A12" s="62"/>
      <c r="B12" s="67"/>
      <c r="C12" s="64"/>
      <c r="D12" s="65"/>
      <c r="E12" s="74" t="str">
        <f t="shared" si="0"/>
        <v/>
      </c>
    </row>
    <row r="13" spans="1:11" s="1" customFormat="1" x14ac:dyDescent="0.3">
      <c r="A13" s="62"/>
      <c r="B13" s="67"/>
      <c r="C13" s="64"/>
      <c r="D13" s="65"/>
      <c r="E13" s="74" t="str">
        <f t="shared" si="0"/>
        <v/>
      </c>
    </row>
    <row r="14" spans="1:11" s="1" customFormat="1" x14ac:dyDescent="0.3">
      <c r="A14" s="62"/>
      <c r="B14" s="67"/>
      <c r="C14" s="64"/>
      <c r="D14" s="65"/>
      <c r="E14" s="74" t="str">
        <f t="shared" si="0"/>
        <v/>
      </c>
    </row>
    <row r="15" spans="1:11" s="1" customFormat="1" x14ac:dyDescent="0.3">
      <c r="A15" s="62"/>
      <c r="B15" s="67"/>
      <c r="C15" s="64"/>
      <c r="D15" s="65"/>
      <c r="E15" s="74" t="str">
        <f t="shared" si="0"/>
        <v/>
      </c>
    </row>
    <row r="16" spans="1:11" s="1" customFormat="1" x14ac:dyDescent="0.3">
      <c r="A16" s="62"/>
      <c r="B16" s="67"/>
      <c r="C16" s="64"/>
      <c r="D16" s="65"/>
      <c r="E16" s="74" t="str">
        <f t="shared" si="0"/>
        <v/>
      </c>
    </row>
    <row r="17" spans="1:5" s="1" customFormat="1" x14ac:dyDescent="0.3">
      <c r="A17" s="62"/>
      <c r="B17" s="67"/>
      <c r="C17" s="64"/>
      <c r="D17" s="65"/>
      <c r="E17" s="74" t="str">
        <f t="shared" si="0"/>
        <v/>
      </c>
    </row>
    <row r="18" spans="1:5" s="1" customFormat="1" x14ac:dyDescent="0.3">
      <c r="A18" s="62"/>
      <c r="B18" s="67"/>
      <c r="C18" s="64"/>
      <c r="D18" s="65"/>
      <c r="E18" s="74" t="str">
        <f t="shared" si="0"/>
        <v/>
      </c>
    </row>
  </sheetData>
  <sheetProtection password="8644" sheet="1" objects="1" scenarios="1" formatRows="0" insertRows="0"/>
  <mergeCells count="1">
    <mergeCell ref="A1:D1"/>
  </mergeCells>
  <dataValidations count="1">
    <dataValidation type="date" allowBlank="1" showInputMessage="1" showErrorMessage="1" errorTitle="Invalid Date" error="Please enter a date between 1 April 2017 and 30 June 2018" prompt="Please enter a date between 1 April 2017 and 30 June 2018" sqref="C3:D18">
      <formula1>42826</formula1>
      <formula2>43281</formula2>
    </dataValidation>
  </dataValidation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20"/>
  <sheetViews>
    <sheetView zoomScaleNormal="100" workbookViewId="0">
      <selection activeCell="D4" sqref="D4"/>
    </sheetView>
  </sheetViews>
  <sheetFormatPr defaultColWidth="8.85546875" defaultRowHeight="15" x14ac:dyDescent="0.25"/>
  <cols>
    <col min="1" max="1" width="37.140625" style="68" customWidth="1"/>
    <col min="2" max="2" width="33" style="69" customWidth="1"/>
    <col min="3" max="3" width="8.85546875" style="68"/>
    <col min="4" max="4" width="16.28515625" style="68" customWidth="1"/>
    <col min="5" max="5" width="2.28515625" style="68" customWidth="1"/>
    <col min="6" max="10" width="12.140625" style="68" customWidth="1"/>
    <col min="11" max="12" width="10.85546875" style="68" bestFit="1" customWidth="1"/>
    <col min="13" max="16384" width="8.85546875" style="68"/>
  </cols>
  <sheetData>
    <row r="1" spans="1:12" ht="26.25" x14ac:dyDescent="0.4">
      <c r="A1" s="115" t="s">
        <v>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3" spans="1:12" ht="25.5" x14ac:dyDescent="0.25">
      <c r="A3" s="118" t="s">
        <v>71</v>
      </c>
      <c r="B3" s="119"/>
      <c r="C3" s="70" t="s">
        <v>43</v>
      </c>
      <c r="D3" s="70" t="s">
        <v>44</v>
      </c>
      <c r="F3" s="71" t="s">
        <v>72</v>
      </c>
      <c r="G3" s="71" t="s">
        <v>75</v>
      </c>
      <c r="H3" s="71" t="s">
        <v>76</v>
      </c>
      <c r="I3" s="71" t="s">
        <v>77</v>
      </c>
      <c r="J3" s="71" t="s">
        <v>78</v>
      </c>
      <c r="K3" s="71" t="s">
        <v>74</v>
      </c>
      <c r="L3" s="71" t="s">
        <v>73</v>
      </c>
    </row>
    <row r="4" spans="1:12" x14ac:dyDescent="0.25">
      <c r="A4" s="113"/>
      <c r="B4" s="114"/>
      <c r="C4" s="6" t="str">
        <f>IF(D4&gt;0,"2017/18","")</f>
        <v/>
      </c>
      <c r="D4" s="72"/>
      <c r="F4" s="6" t="str">
        <f>IFERROR(SUMIFS(INDEX(data!$B$1:$T$63,1,MATCH(LEFT($A4,SEARCH(":",$A4)-2)&amp;$C4,data!$B$1:$T$1,0)):INDEX(data!$B$1:$T$63,63,MATCH(LEFT($A4,SEARCH(":",$A4)-2)&amp;$C4,data!$B$1:$T$1,0)),
data!$B$1:$B$63,RIGHT(Basefunding!$A4,LEN($A4)-SEARCH(":",Basefunding!$A4)-1),
data!$C$1:$C$63,"BF Cash FTE")*$D4*80000,"")</f>
        <v/>
      </c>
      <c r="G4" s="13" t="str">
        <f>IFERROR(SUMIFS(INDEX(data!$B$1:$T$63,1,MATCH(LEFT($A4,SEARCH(":",$A4)-2)&amp;$C4,data!$B$1:$T$1,0)):INDEX(data!$B$1:$T$63,63,MATCH(LEFT($A4,SEARCH(":",$A4)-2)&amp;$C4,data!$B$1:$T$1,0)),
data!$B$1:$B$63,RIGHT(Basefunding!$A4,LEN($A4)-SEARCH(":",Basefunding!$A4)-1),
data!$D$1:$D$63,"(1) Programme Leader/Senior Manager")*$D4,"not available")</f>
        <v>not available</v>
      </c>
      <c r="H4" s="13" t="str">
        <f>IFERROR(SUMIFS(INDEX(data!$B$1:$T$63,1,MATCH(LEFT($A4,SEARCH(":",$A4)-2)&amp;$C4,data!$B$1:$T$1,0)):INDEX(data!$B$1:$T$63,63,MATCH(LEFT($A4,SEARCH(":",$A4)-2)&amp;$C4,data!$B$1:$T$1,0)),
data!$B$1:$B$63,RIGHT(Basefunding!$A4,LEN($A4)-SEARCH(":",Basefunding!$A4)-1),
data!$D$1:$D$63,"(2) Project/Theme Leader/Key Researcher/Manager")*$D4,"not available")</f>
        <v>not available</v>
      </c>
      <c r="I4" s="13" t="str">
        <f>IFERROR(SUMIFS(INDEX(data!$B$1:$T$63,1,MATCH(LEFT($A4,SEARCH(":",$A4)-2)&amp;$C4,data!$B$1:$T$1,0)):INDEX(data!$B$1:$T$63,63,MATCH(LEFT($A4,SEARCH(":",$A4)-2)&amp;$C4,data!$B$1:$T$1,0)),
data!$B$1:$B$63,RIGHT(Basefunding!$A4,LEN($A4)-SEARCH(":",Basefunding!$A4)-1),
data!$D$1:$D$63,"(3) Researcher/Professional")*$D4,"not available")</f>
        <v>not available</v>
      </c>
      <c r="J4" s="13" t="str">
        <f>IFERROR(SUMIFS(INDEX(data!$B$1:$T$63,1,MATCH(LEFT($A4,SEARCH(":",$A4)-2)&amp;$C4,data!$B$1:$T$1,0)):INDEX(data!$B$1:$T$63,63,MATCH(LEFT($A4,SEARCH(":",$A4)-2)&amp;$C4,data!$B$1:$T$1,0)),
data!$B$1:$B$63,RIGHT(Basefunding!$A4,LEN($A4)-SEARCH(":",Basefunding!$A4)-1),
data!$D$1:$D$63,"(4) Other (support staff - technical, administrative)")*$D4,"not available")</f>
        <v>not available</v>
      </c>
      <c r="K4" s="6" t="str">
        <f>IFERROR(+G4*400000+H4*270000+I4*210000+J4*170000,"")</f>
        <v/>
      </c>
      <c r="L4" s="6" t="str">
        <f>IFERROR(SUMIFS(INDEX(data!$B$1:$T$63,1,MATCH(LEFT($A4,SEARCH(":",$A4)-2)&amp;$C4,data!$B$1:$T$1,0)):INDEX(data!$B$1:$T$63,63,MATCH(LEFT($A4,SEARCH(":",$A4)-2)&amp;$C4,data!$B$1:$T$1,0)),
data!$B$1:$B$63,RIGHT(Basefunding!$A4,LEN($A4)-SEARCH(":",Basefunding!$A4)-1),
data!$C$1:$C$63,"BF Other in kind")*$D4,"")</f>
        <v/>
      </c>
    </row>
    <row r="5" spans="1:12" x14ac:dyDescent="0.25">
      <c r="A5" s="113"/>
      <c r="B5" s="114"/>
      <c r="C5" s="6" t="str">
        <f t="shared" ref="C5:C18" si="0">IF(D5&gt;0,"2017/18","")</f>
        <v/>
      </c>
      <c r="D5" s="72"/>
      <c r="F5" s="6" t="str">
        <f>IFERROR(SUMIFS(INDEX(data!$B$1:$T$63,1,MATCH(LEFT($A5,SEARCH(":",$A5)-2)&amp;$C5,data!$B$1:$T$1,0)):INDEX(data!$B$1:$T$63,63,MATCH(LEFT($A5,SEARCH(":",$A5)-2)&amp;$C5,data!$B$1:$T$1,0)),
data!$B$1:$B$63,RIGHT(Basefunding!$A5,LEN($A5)-SEARCH(":",Basefunding!$A5)-1),
data!$C$1:$C$63,"BF Cash FTE")*$D5*80000,"")</f>
        <v/>
      </c>
      <c r="G5" s="13" t="str">
        <f>IFERROR(SUMIFS(INDEX(data!$B$1:$T$63,1,MATCH(LEFT($A5,SEARCH(":",$A5)-2)&amp;$C5,data!$B$1:$T$1,0)):INDEX(data!$B$1:$T$63,63,MATCH(LEFT($A5,SEARCH(":",$A5)-2)&amp;$C5,data!$B$1:$T$1,0)),
data!$B$1:$B$63,RIGHT(Basefunding!$A5,LEN($A5)-SEARCH(":",Basefunding!$A5)-1),
data!$D$1:$D$63,"(1) Programme Leader/Senior Manager")*$D5,"not available")</f>
        <v>not available</v>
      </c>
      <c r="H5" s="13" t="str">
        <f>IFERROR(SUMIFS(INDEX(data!$B$1:$T$63,1,MATCH(LEFT($A5,SEARCH(":",$A5)-2)&amp;$C5,data!$B$1:$T$1,0)):INDEX(data!$B$1:$T$63,63,MATCH(LEFT($A5,SEARCH(":",$A5)-2)&amp;$C5,data!$B$1:$T$1,0)),
data!$B$1:$B$63,RIGHT(Basefunding!$A5,LEN($A5)-SEARCH(":",Basefunding!$A5)-1),
data!$D$1:$D$63,"(2) Project/Theme Leader/Key Researcher/Manager")*$D5,"not available")</f>
        <v>not available</v>
      </c>
      <c r="I5" s="13" t="str">
        <f>IFERROR(SUMIFS(INDEX(data!$B$1:$T$63,1,MATCH(LEFT($A5,SEARCH(":",$A5)-2)&amp;$C5,data!$B$1:$T$1,0)):INDEX(data!$B$1:$T$63,63,MATCH(LEFT($A5,SEARCH(":",$A5)-2)&amp;$C5,data!$B$1:$T$1,0)),
data!$B$1:$B$63,RIGHT(Basefunding!$A5,LEN($A5)-SEARCH(":",Basefunding!$A5)-1),
data!$D$1:$D$63,"(3) Researcher/Professional")*$D5,"not available")</f>
        <v>not available</v>
      </c>
      <c r="J5" s="13" t="str">
        <f>IFERROR(SUMIFS(INDEX(data!$B$1:$T$63,1,MATCH(LEFT($A5,SEARCH(":",$A5)-2)&amp;$C5,data!$B$1:$T$1,0)):INDEX(data!$B$1:$T$63,63,MATCH(LEFT($A5,SEARCH(":",$A5)-2)&amp;$C5,data!$B$1:$T$1,0)),
data!$B$1:$B$63,RIGHT(Basefunding!$A5,LEN($A5)-SEARCH(":",Basefunding!$A5)-1),
data!$D$1:$D$63,"(4) Other (support staff - technical, administrative)")*$D5,"not available")</f>
        <v>not available</v>
      </c>
      <c r="K5" s="6" t="str">
        <f t="shared" ref="K5:K18" si="1">IFERROR(+G5*400000+H5*270000+I5*210000+J5*170000,"")</f>
        <v/>
      </c>
      <c r="L5" s="6" t="str">
        <f>IFERROR(SUMIFS(INDEX(data!$B$1:$T$63,1,MATCH(LEFT($A5,SEARCH(":",$A5)-2)&amp;$C5,data!$B$1:$T$1,0)):INDEX(data!$B$1:$T$63,63,MATCH(LEFT($A5,SEARCH(":",$A5)-2)&amp;$C5,data!$B$1:$T$1,0)),
data!$B$1:$B$63,RIGHT(Basefunding!$A5,LEN($A5)-SEARCH(":",Basefunding!$A5)-1),
data!$C$1:$C$63,"BF Other in kind")*$D5,"")</f>
        <v/>
      </c>
    </row>
    <row r="6" spans="1:12" x14ac:dyDescent="0.25">
      <c r="A6" s="113"/>
      <c r="B6" s="114"/>
      <c r="C6" s="6" t="str">
        <f t="shared" si="0"/>
        <v/>
      </c>
      <c r="D6" s="72"/>
      <c r="F6" s="6" t="str">
        <f>IFERROR(SUMIFS(INDEX(data!$B$1:$T$63,1,MATCH(LEFT($A6,SEARCH(":",$A6)-2)&amp;$C6,data!$B$1:$T$1,0)):INDEX(data!$B$1:$T$63,63,MATCH(LEFT($A6,SEARCH(":",$A6)-2)&amp;$C6,data!$B$1:$T$1,0)),
data!$B$1:$B$63,RIGHT(Basefunding!$A6,LEN($A6)-SEARCH(":",Basefunding!$A6)-1),
data!$C$1:$C$63,"BF Cash FTE")*$D6*80000,"")</f>
        <v/>
      </c>
      <c r="G6" s="13" t="str">
        <f>IFERROR(SUMIFS(INDEX(data!$B$1:$T$63,1,MATCH(LEFT($A6,SEARCH(":",$A6)-2)&amp;$C6,data!$B$1:$T$1,0)):INDEX(data!$B$1:$T$63,63,MATCH(LEFT($A6,SEARCH(":",$A6)-2)&amp;$C6,data!$B$1:$T$1,0)),
data!$B$1:$B$63,RIGHT(Basefunding!$A6,LEN($A6)-SEARCH(":",Basefunding!$A6)-1),
data!$D$1:$D$63,"(1) Programme Leader/Senior Manager")*$D6,"not available")</f>
        <v>not available</v>
      </c>
      <c r="H6" s="13" t="str">
        <f>IFERROR(SUMIFS(INDEX(data!$B$1:$T$63,1,MATCH(LEFT($A6,SEARCH(":",$A6)-2)&amp;$C6,data!$B$1:$T$1,0)):INDEX(data!$B$1:$T$63,63,MATCH(LEFT($A6,SEARCH(":",$A6)-2)&amp;$C6,data!$B$1:$T$1,0)),
data!$B$1:$B$63,RIGHT(Basefunding!$A6,LEN($A6)-SEARCH(":",Basefunding!$A6)-1),
data!$D$1:$D$63,"(2) Project/Theme Leader/Key Researcher/Manager")*$D6,"not available")</f>
        <v>not available</v>
      </c>
      <c r="I6" s="13" t="str">
        <f>IFERROR(SUMIFS(INDEX(data!$B$1:$T$63,1,MATCH(LEFT($A6,SEARCH(":",$A6)-2)&amp;$C6,data!$B$1:$T$1,0)):INDEX(data!$B$1:$T$63,63,MATCH(LEFT($A6,SEARCH(":",$A6)-2)&amp;$C6,data!$B$1:$T$1,0)),
data!$B$1:$B$63,RIGHT(Basefunding!$A6,LEN($A6)-SEARCH(":",Basefunding!$A6)-1),
data!$D$1:$D$63,"(3) Researcher/Professional")*$D6,"not available")</f>
        <v>not available</v>
      </c>
      <c r="J6" s="13" t="str">
        <f>IFERROR(SUMIFS(INDEX(data!$B$1:$T$63,1,MATCH(LEFT($A6,SEARCH(":",$A6)-2)&amp;$C6,data!$B$1:$T$1,0)):INDEX(data!$B$1:$T$63,63,MATCH(LEFT($A6,SEARCH(":",$A6)-2)&amp;$C6,data!$B$1:$T$1,0)),
data!$B$1:$B$63,RIGHT(Basefunding!$A6,LEN($A6)-SEARCH(":",Basefunding!$A6)-1),
data!$D$1:$D$63,"(4) Other (support staff - technical, administrative)")*$D6,"not available")</f>
        <v>not available</v>
      </c>
      <c r="K6" s="6" t="str">
        <f t="shared" si="1"/>
        <v/>
      </c>
      <c r="L6" s="6" t="str">
        <f>IFERROR(SUMIFS(INDEX(data!$B$1:$T$63,1,MATCH(LEFT($A6,SEARCH(":",$A6)-2)&amp;$C6,data!$B$1:$T$1,0)):INDEX(data!$B$1:$T$63,63,MATCH(LEFT($A6,SEARCH(":",$A6)-2)&amp;$C6,data!$B$1:$T$1,0)),
data!$B$1:$B$63,RIGHT(Basefunding!$A6,LEN($A6)-SEARCH(":",Basefunding!$A6)-1),
data!$C$1:$C$63,"BF Other in kind")*$D6,"")</f>
        <v/>
      </c>
    </row>
    <row r="7" spans="1:12" x14ac:dyDescent="0.25">
      <c r="A7" s="113"/>
      <c r="B7" s="114"/>
      <c r="C7" s="6" t="str">
        <f t="shared" si="0"/>
        <v/>
      </c>
      <c r="D7" s="72"/>
      <c r="F7" s="6" t="str">
        <f>IFERROR(SUMIFS(INDEX(data!$B$1:$T$63,1,MATCH(LEFT($A7,SEARCH(":",$A7)-2)&amp;$C7,data!$B$1:$T$1,0)):INDEX(data!$B$1:$T$63,63,MATCH(LEFT($A7,SEARCH(":",$A7)-2)&amp;$C7,data!$B$1:$T$1,0)),
data!$B$1:$B$63,RIGHT(Basefunding!$A7,LEN($A7)-SEARCH(":",Basefunding!$A7)-1),
data!$C$1:$C$63,"BF Cash FTE")*$D7*80000,"")</f>
        <v/>
      </c>
      <c r="G7" s="13" t="str">
        <f>IFERROR(SUMIFS(INDEX(data!$B$1:$T$63,1,MATCH(LEFT($A7,SEARCH(":",$A7)-2)&amp;$C7,data!$B$1:$T$1,0)):INDEX(data!$B$1:$T$63,63,MATCH(LEFT($A7,SEARCH(":",$A7)-2)&amp;$C7,data!$B$1:$T$1,0)),
data!$B$1:$B$63,RIGHT(Basefunding!$A7,LEN($A7)-SEARCH(":",Basefunding!$A7)-1),
data!$D$1:$D$63,"(1) Programme Leader/Senior Manager")*$D7,"not available")</f>
        <v>not available</v>
      </c>
      <c r="H7" s="13" t="str">
        <f>IFERROR(SUMIFS(INDEX(data!$B$1:$T$63,1,MATCH(LEFT($A7,SEARCH(":",$A7)-2)&amp;$C7,data!$B$1:$T$1,0)):INDEX(data!$B$1:$T$63,63,MATCH(LEFT($A7,SEARCH(":",$A7)-2)&amp;$C7,data!$B$1:$T$1,0)),
data!$B$1:$B$63,RIGHT(Basefunding!$A7,LEN($A7)-SEARCH(":",Basefunding!$A7)-1),
data!$D$1:$D$63,"(2) Project/Theme Leader/Key Researcher/Manager")*$D7,"not available")</f>
        <v>not available</v>
      </c>
      <c r="I7" s="13" t="str">
        <f>IFERROR(SUMIFS(INDEX(data!$B$1:$T$63,1,MATCH(LEFT($A7,SEARCH(":",$A7)-2)&amp;$C7,data!$B$1:$T$1,0)):INDEX(data!$B$1:$T$63,63,MATCH(LEFT($A7,SEARCH(":",$A7)-2)&amp;$C7,data!$B$1:$T$1,0)),
data!$B$1:$B$63,RIGHT(Basefunding!$A7,LEN($A7)-SEARCH(":",Basefunding!$A7)-1),
data!$D$1:$D$63,"(3) Researcher/Professional")*$D7,"not available")</f>
        <v>not available</v>
      </c>
      <c r="J7" s="13" t="str">
        <f>IFERROR(SUMIFS(INDEX(data!$B$1:$T$63,1,MATCH(LEFT($A7,SEARCH(":",$A7)-2)&amp;$C7,data!$B$1:$T$1,0)):INDEX(data!$B$1:$T$63,63,MATCH(LEFT($A7,SEARCH(":",$A7)-2)&amp;$C7,data!$B$1:$T$1,0)),
data!$B$1:$B$63,RIGHT(Basefunding!$A7,LEN($A7)-SEARCH(":",Basefunding!$A7)-1),
data!$D$1:$D$63,"(4) Other (support staff - technical, administrative)")*$D7,"not available")</f>
        <v>not available</v>
      </c>
      <c r="K7" s="6" t="str">
        <f t="shared" si="1"/>
        <v/>
      </c>
      <c r="L7" s="6" t="str">
        <f>IFERROR(SUMIFS(INDEX(data!$B$1:$T$63,1,MATCH(LEFT($A7,SEARCH(":",$A7)-2)&amp;$C7,data!$B$1:$T$1,0)):INDEX(data!$B$1:$T$63,63,MATCH(LEFT($A7,SEARCH(":",$A7)-2)&amp;$C7,data!$B$1:$T$1,0)),
data!$B$1:$B$63,RIGHT(Basefunding!$A7,LEN($A7)-SEARCH(":",Basefunding!$A7)-1),
data!$C$1:$C$63,"BF Other in kind")*$D7,"")</f>
        <v/>
      </c>
    </row>
    <row r="8" spans="1:12" x14ac:dyDescent="0.25">
      <c r="A8" s="113"/>
      <c r="B8" s="114"/>
      <c r="C8" s="6" t="str">
        <f t="shared" si="0"/>
        <v/>
      </c>
      <c r="D8" s="72"/>
      <c r="F8" s="6" t="str">
        <f>IFERROR(SUMIFS(INDEX(data!$B$1:$T$63,1,MATCH(LEFT($A8,SEARCH(":",$A8)-2)&amp;$C8,data!$B$1:$T$1,0)):INDEX(data!$B$1:$T$63,63,MATCH(LEFT($A8,SEARCH(":",$A8)-2)&amp;$C8,data!$B$1:$T$1,0)),
data!$B$1:$B$63,RIGHT(Basefunding!$A8,LEN($A8)-SEARCH(":",Basefunding!$A8)-1),
data!$C$1:$C$63,"BF Cash FTE")*$D8*80000,"")</f>
        <v/>
      </c>
      <c r="G8" s="13" t="str">
        <f>IFERROR(SUMIFS(INDEX(data!$B$1:$T$63,1,MATCH(LEFT($A8,SEARCH(":",$A8)-2)&amp;$C8,data!$B$1:$T$1,0)):INDEX(data!$B$1:$T$63,63,MATCH(LEFT($A8,SEARCH(":",$A8)-2)&amp;$C8,data!$B$1:$T$1,0)),
data!$B$1:$B$63,RIGHT(Basefunding!$A8,LEN($A8)-SEARCH(":",Basefunding!$A8)-1),
data!$D$1:$D$63,"(1) Programme Leader/Senior Manager")*$D8,"not available")</f>
        <v>not available</v>
      </c>
      <c r="H8" s="13" t="str">
        <f>IFERROR(SUMIFS(INDEX(data!$B$1:$T$63,1,MATCH(LEFT($A8,SEARCH(":",$A8)-2)&amp;$C8,data!$B$1:$T$1,0)):INDEX(data!$B$1:$T$63,63,MATCH(LEFT($A8,SEARCH(":",$A8)-2)&amp;$C8,data!$B$1:$T$1,0)),
data!$B$1:$B$63,RIGHT(Basefunding!$A8,LEN($A8)-SEARCH(":",Basefunding!$A8)-1),
data!$D$1:$D$63,"(2) Project/Theme Leader/Key Researcher/Manager")*$D8,"not available")</f>
        <v>not available</v>
      </c>
      <c r="I8" s="13" t="str">
        <f>IFERROR(SUMIFS(INDEX(data!$B$1:$T$63,1,MATCH(LEFT($A8,SEARCH(":",$A8)-2)&amp;$C8,data!$B$1:$T$1,0)):INDEX(data!$B$1:$T$63,63,MATCH(LEFT($A8,SEARCH(":",$A8)-2)&amp;$C8,data!$B$1:$T$1,0)),
data!$B$1:$B$63,RIGHT(Basefunding!$A8,LEN($A8)-SEARCH(":",Basefunding!$A8)-1),
data!$D$1:$D$63,"(3) Researcher/Professional")*$D8,"not available")</f>
        <v>not available</v>
      </c>
      <c r="J8" s="13" t="str">
        <f>IFERROR(SUMIFS(INDEX(data!$B$1:$T$63,1,MATCH(LEFT($A8,SEARCH(":",$A8)-2)&amp;$C8,data!$B$1:$T$1,0)):INDEX(data!$B$1:$T$63,63,MATCH(LEFT($A8,SEARCH(":",$A8)-2)&amp;$C8,data!$B$1:$T$1,0)),
data!$B$1:$B$63,RIGHT(Basefunding!$A8,LEN($A8)-SEARCH(":",Basefunding!$A8)-1),
data!$D$1:$D$63,"(4) Other (support staff - technical, administrative)")*$D8,"not available")</f>
        <v>not available</v>
      </c>
      <c r="K8" s="6" t="str">
        <f t="shared" si="1"/>
        <v/>
      </c>
      <c r="L8" s="6" t="str">
        <f>IFERROR(SUMIFS(INDEX(data!$B$1:$T$63,1,MATCH(LEFT($A8,SEARCH(":",$A8)-2)&amp;$C8,data!$B$1:$T$1,0)):INDEX(data!$B$1:$T$63,63,MATCH(LEFT($A8,SEARCH(":",$A8)-2)&amp;$C8,data!$B$1:$T$1,0)),
data!$B$1:$B$63,RIGHT(Basefunding!$A8,LEN($A8)-SEARCH(":",Basefunding!$A8)-1),
data!$C$1:$C$63,"BF Other in kind")*$D8,"")</f>
        <v/>
      </c>
    </row>
    <row r="9" spans="1:12" x14ac:dyDescent="0.25">
      <c r="A9" s="113"/>
      <c r="B9" s="114"/>
      <c r="C9" s="6" t="str">
        <f t="shared" si="0"/>
        <v/>
      </c>
      <c r="D9" s="72"/>
      <c r="F9" s="6" t="str">
        <f>IFERROR(SUMIFS(INDEX(data!$B$1:$T$63,1,MATCH(LEFT($A9,SEARCH(":",$A9)-2)&amp;$C9,data!$B$1:$T$1,0)):INDEX(data!$B$1:$T$63,63,MATCH(LEFT($A9,SEARCH(":",$A9)-2)&amp;$C9,data!$B$1:$T$1,0)),
data!$B$1:$B$63,RIGHT(Basefunding!$A9,LEN($A9)-SEARCH(":",Basefunding!$A9)-1),
data!$C$1:$C$63,"BF Cash FTE")*$D9*80000,"")</f>
        <v/>
      </c>
      <c r="G9" s="13" t="str">
        <f>IFERROR(SUMIFS(INDEX(data!$B$1:$T$63,1,MATCH(LEFT($A9,SEARCH(":",$A9)-2)&amp;$C9,data!$B$1:$T$1,0)):INDEX(data!$B$1:$T$63,63,MATCH(LEFT($A9,SEARCH(":",$A9)-2)&amp;$C9,data!$B$1:$T$1,0)),
data!$B$1:$B$63,RIGHT(Basefunding!$A9,LEN($A9)-SEARCH(":",Basefunding!$A9)-1),
data!$D$1:$D$63,"(1) Programme Leader/Senior Manager")*$D9,"not available")</f>
        <v>not available</v>
      </c>
      <c r="H9" s="13" t="str">
        <f>IFERROR(SUMIFS(INDEX(data!$B$1:$T$63,1,MATCH(LEFT($A9,SEARCH(":",$A9)-2)&amp;$C9,data!$B$1:$T$1,0)):INDEX(data!$B$1:$T$63,63,MATCH(LEFT($A9,SEARCH(":",$A9)-2)&amp;$C9,data!$B$1:$T$1,0)),
data!$B$1:$B$63,RIGHT(Basefunding!$A9,LEN($A9)-SEARCH(":",Basefunding!$A9)-1),
data!$D$1:$D$63,"(2) Project/Theme Leader/Key Researcher/Manager")*$D9,"not available")</f>
        <v>not available</v>
      </c>
      <c r="I9" s="13" t="str">
        <f>IFERROR(SUMIFS(INDEX(data!$B$1:$T$63,1,MATCH(LEFT($A9,SEARCH(":",$A9)-2)&amp;$C9,data!$B$1:$T$1,0)):INDEX(data!$B$1:$T$63,63,MATCH(LEFT($A9,SEARCH(":",$A9)-2)&amp;$C9,data!$B$1:$T$1,0)),
data!$B$1:$B$63,RIGHT(Basefunding!$A9,LEN($A9)-SEARCH(":",Basefunding!$A9)-1),
data!$D$1:$D$63,"(3) Researcher/Professional")*$D9,"not available")</f>
        <v>not available</v>
      </c>
      <c r="J9" s="13" t="str">
        <f>IFERROR(SUMIFS(INDEX(data!$B$1:$T$63,1,MATCH(LEFT($A9,SEARCH(":",$A9)-2)&amp;$C9,data!$B$1:$T$1,0)):INDEX(data!$B$1:$T$63,63,MATCH(LEFT($A9,SEARCH(":",$A9)-2)&amp;$C9,data!$B$1:$T$1,0)),
data!$B$1:$B$63,RIGHT(Basefunding!$A9,LEN($A9)-SEARCH(":",Basefunding!$A9)-1),
data!$D$1:$D$63,"(4) Other (support staff - technical, administrative)")*$D9,"not available")</f>
        <v>not available</v>
      </c>
      <c r="K9" s="6" t="str">
        <f t="shared" si="1"/>
        <v/>
      </c>
      <c r="L9" s="6" t="str">
        <f>IFERROR(SUMIFS(INDEX(data!$B$1:$T$63,1,MATCH(LEFT($A9,SEARCH(":",$A9)-2)&amp;$C9,data!$B$1:$T$1,0)):INDEX(data!$B$1:$T$63,63,MATCH(LEFT($A9,SEARCH(":",$A9)-2)&amp;$C9,data!$B$1:$T$1,0)),
data!$B$1:$B$63,RIGHT(Basefunding!$A9,LEN($A9)-SEARCH(":",Basefunding!$A9)-1),
data!$C$1:$C$63,"BF Other in kind")*$D9,"")</f>
        <v/>
      </c>
    </row>
    <row r="10" spans="1:12" x14ac:dyDescent="0.25">
      <c r="A10" s="113"/>
      <c r="B10" s="114"/>
      <c r="C10" s="6" t="str">
        <f t="shared" si="0"/>
        <v/>
      </c>
      <c r="D10" s="72"/>
      <c r="F10" s="6" t="str">
        <f>IFERROR(SUMIFS(INDEX(data!$B$1:$T$63,1,MATCH(LEFT($A10,SEARCH(":",$A10)-2)&amp;$C10,data!$B$1:$T$1,0)):INDEX(data!$B$1:$T$63,63,MATCH(LEFT($A10,SEARCH(":",$A10)-2)&amp;$C10,data!$B$1:$T$1,0)),
data!$B$1:$B$63,RIGHT(Basefunding!$A10,LEN($A10)-SEARCH(":",Basefunding!$A10)-1),
data!$C$1:$C$63,"BF Cash FTE")*$D10*80000,"")</f>
        <v/>
      </c>
      <c r="G10" s="13" t="str">
        <f>IFERROR(SUMIFS(INDEX(data!$B$1:$T$63,1,MATCH(LEFT($A10,SEARCH(":",$A10)-2)&amp;$C10,data!$B$1:$T$1,0)):INDEX(data!$B$1:$T$63,63,MATCH(LEFT($A10,SEARCH(":",$A10)-2)&amp;$C10,data!$B$1:$T$1,0)),
data!$B$1:$B$63,RIGHT(Basefunding!$A10,LEN($A10)-SEARCH(":",Basefunding!$A10)-1),
data!$D$1:$D$63,"(1) Programme Leader/Senior Manager")*$D10,"not available")</f>
        <v>not available</v>
      </c>
      <c r="H10" s="13" t="str">
        <f>IFERROR(SUMIFS(INDEX(data!$B$1:$T$63,1,MATCH(LEFT($A10,SEARCH(":",$A10)-2)&amp;$C10,data!$B$1:$T$1,0)):INDEX(data!$B$1:$T$63,63,MATCH(LEFT($A10,SEARCH(":",$A10)-2)&amp;$C10,data!$B$1:$T$1,0)),
data!$B$1:$B$63,RIGHT(Basefunding!$A10,LEN($A10)-SEARCH(":",Basefunding!$A10)-1),
data!$D$1:$D$63,"(2) Project/Theme Leader/Key Researcher/Manager")*$D10,"not available")</f>
        <v>not available</v>
      </c>
      <c r="I10" s="13" t="str">
        <f>IFERROR(SUMIFS(INDEX(data!$B$1:$T$63,1,MATCH(LEFT($A10,SEARCH(":",$A10)-2)&amp;$C10,data!$B$1:$T$1,0)):INDEX(data!$B$1:$T$63,63,MATCH(LEFT($A10,SEARCH(":",$A10)-2)&amp;$C10,data!$B$1:$T$1,0)),
data!$B$1:$B$63,RIGHT(Basefunding!$A10,LEN($A10)-SEARCH(":",Basefunding!$A10)-1),
data!$D$1:$D$63,"(3) Researcher/Professional")*$D10,"not available")</f>
        <v>not available</v>
      </c>
      <c r="J10" s="13" t="str">
        <f>IFERROR(SUMIFS(INDEX(data!$B$1:$T$63,1,MATCH(LEFT($A10,SEARCH(":",$A10)-2)&amp;$C10,data!$B$1:$T$1,0)):INDEX(data!$B$1:$T$63,63,MATCH(LEFT($A10,SEARCH(":",$A10)-2)&amp;$C10,data!$B$1:$T$1,0)),
data!$B$1:$B$63,RIGHT(Basefunding!$A10,LEN($A10)-SEARCH(":",Basefunding!$A10)-1),
data!$D$1:$D$63,"(4) Other (support staff - technical, administrative)")*$D10,"not available")</f>
        <v>not available</v>
      </c>
      <c r="K10" s="6" t="str">
        <f t="shared" si="1"/>
        <v/>
      </c>
      <c r="L10" s="6" t="str">
        <f>IFERROR(SUMIFS(INDEX(data!$B$1:$T$63,1,MATCH(LEFT($A10,SEARCH(":",$A10)-2)&amp;$C10,data!$B$1:$T$1,0)):INDEX(data!$B$1:$T$63,63,MATCH(LEFT($A10,SEARCH(":",$A10)-2)&amp;$C10,data!$B$1:$T$1,0)),
data!$B$1:$B$63,RIGHT(Basefunding!$A10,LEN($A10)-SEARCH(":",Basefunding!$A10)-1),
data!$C$1:$C$63,"BF Other in kind")*$D10,"")</f>
        <v/>
      </c>
    </row>
    <row r="11" spans="1:12" x14ac:dyDescent="0.25">
      <c r="A11" s="113"/>
      <c r="B11" s="114"/>
      <c r="C11" s="6" t="str">
        <f t="shared" si="0"/>
        <v/>
      </c>
      <c r="D11" s="72"/>
      <c r="F11" s="6" t="str">
        <f>IFERROR(SUMIFS(INDEX(data!$B$1:$T$63,1,MATCH(LEFT($A11,SEARCH(":",$A11)-2)&amp;$C11,data!$B$1:$T$1,0)):INDEX(data!$B$1:$T$63,63,MATCH(LEFT($A11,SEARCH(":",$A11)-2)&amp;$C11,data!$B$1:$T$1,0)),
data!$B$1:$B$63,RIGHT(Basefunding!$A11,LEN($A11)-SEARCH(":",Basefunding!$A11)-1),
data!$C$1:$C$63,"BF Cash FTE")*$D11*80000,"")</f>
        <v/>
      </c>
      <c r="G11" s="13" t="str">
        <f>IFERROR(SUMIFS(INDEX(data!$B$1:$T$63,1,MATCH(LEFT($A11,SEARCH(":",$A11)-2)&amp;$C11,data!$B$1:$T$1,0)):INDEX(data!$B$1:$T$63,63,MATCH(LEFT($A11,SEARCH(":",$A11)-2)&amp;$C11,data!$B$1:$T$1,0)),
data!$B$1:$B$63,RIGHT(Basefunding!$A11,LEN($A11)-SEARCH(":",Basefunding!$A11)-1),
data!$D$1:$D$63,"(1) Programme Leader/Senior Manager")*$D11,"not available")</f>
        <v>not available</v>
      </c>
      <c r="H11" s="13" t="str">
        <f>IFERROR(SUMIFS(INDEX(data!$B$1:$T$63,1,MATCH(LEFT($A11,SEARCH(":",$A11)-2)&amp;$C11,data!$B$1:$T$1,0)):INDEX(data!$B$1:$T$63,63,MATCH(LEFT($A11,SEARCH(":",$A11)-2)&amp;$C11,data!$B$1:$T$1,0)),
data!$B$1:$B$63,RIGHT(Basefunding!$A11,LEN($A11)-SEARCH(":",Basefunding!$A11)-1),
data!$D$1:$D$63,"(2) Project/Theme Leader/Key Researcher/Manager")*$D11,"not available")</f>
        <v>not available</v>
      </c>
      <c r="I11" s="13" t="str">
        <f>IFERROR(SUMIFS(INDEX(data!$B$1:$T$63,1,MATCH(LEFT($A11,SEARCH(":",$A11)-2)&amp;$C11,data!$B$1:$T$1,0)):INDEX(data!$B$1:$T$63,63,MATCH(LEFT($A11,SEARCH(":",$A11)-2)&amp;$C11,data!$B$1:$T$1,0)),
data!$B$1:$B$63,RIGHT(Basefunding!$A11,LEN($A11)-SEARCH(":",Basefunding!$A11)-1),
data!$D$1:$D$63,"(3) Researcher/Professional")*$D11,"not available")</f>
        <v>not available</v>
      </c>
      <c r="J11" s="13" t="str">
        <f>IFERROR(SUMIFS(INDEX(data!$B$1:$T$63,1,MATCH(LEFT($A11,SEARCH(":",$A11)-2)&amp;$C11,data!$B$1:$T$1,0)):INDEX(data!$B$1:$T$63,63,MATCH(LEFT($A11,SEARCH(":",$A11)-2)&amp;$C11,data!$B$1:$T$1,0)),
data!$B$1:$B$63,RIGHT(Basefunding!$A11,LEN($A11)-SEARCH(":",Basefunding!$A11)-1),
data!$D$1:$D$63,"(4) Other (support staff - technical, administrative)")*$D11,"not available")</f>
        <v>not available</v>
      </c>
      <c r="K11" s="6" t="str">
        <f t="shared" si="1"/>
        <v/>
      </c>
      <c r="L11" s="6" t="str">
        <f>IFERROR(SUMIFS(INDEX(data!$B$1:$T$63,1,MATCH(LEFT($A11,SEARCH(":",$A11)-2)&amp;$C11,data!$B$1:$T$1,0)):INDEX(data!$B$1:$T$63,63,MATCH(LEFT($A11,SEARCH(":",$A11)-2)&amp;$C11,data!$B$1:$T$1,0)),
data!$B$1:$B$63,RIGHT(Basefunding!$A11,LEN($A11)-SEARCH(":",Basefunding!$A11)-1),
data!$C$1:$C$63,"BF Other in kind")*$D11,"")</f>
        <v/>
      </c>
    </row>
    <row r="12" spans="1:12" x14ac:dyDescent="0.25">
      <c r="A12" s="113"/>
      <c r="B12" s="114"/>
      <c r="C12" s="6" t="str">
        <f t="shared" si="0"/>
        <v/>
      </c>
      <c r="D12" s="72"/>
      <c r="F12" s="6" t="str">
        <f>IFERROR(SUMIFS(INDEX(data!$B$1:$T$63,1,MATCH(LEFT($A12,SEARCH(":",$A12)-2)&amp;$C12,data!$B$1:$T$1,0)):INDEX(data!$B$1:$T$63,63,MATCH(LEFT($A12,SEARCH(":",$A12)-2)&amp;$C12,data!$B$1:$T$1,0)),
data!$B$1:$B$63,RIGHT(Basefunding!$A12,LEN($A12)-SEARCH(":",Basefunding!$A12)-1),
data!$C$1:$C$63,"BF Cash FTE")*$D12*80000,"")</f>
        <v/>
      </c>
      <c r="G12" s="13" t="str">
        <f>IFERROR(SUMIFS(INDEX(data!$B$1:$T$63,1,MATCH(LEFT($A12,SEARCH(":",$A12)-2)&amp;$C12,data!$B$1:$T$1,0)):INDEX(data!$B$1:$T$63,63,MATCH(LEFT($A12,SEARCH(":",$A12)-2)&amp;$C12,data!$B$1:$T$1,0)),
data!$B$1:$B$63,RIGHT(Basefunding!$A12,LEN($A12)-SEARCH(":",Basefunding!$A12)-1),
data!$D$1:$D$63,"(1) Programme Leader/Senior Manager")*$D12,"not available")</f>
        <v>not available</v>
      </c>
      <c r="H12" s="13" t="str">
        <f>IFERROR(SUMIFS(INDEX(data!$B$1:$T$63,1,MATCH(LEFT($A12,SEARCH(":",$A12)-2)&amp;$C12,data!$B$1:$T$1,0)):INDEX(data!$B$1:$T$63,63,MATCH(LEFT($A12,SEARCH(":",$A12)-2)&amp;$C12,data!$B$1:$T$1,0)),
data!$B$1:$B$63,RIGHT(Basefunding!$A12,LEN($A12)-SEARCH(":",Basefunding!$A12)-1),
data!$D$1:$D$63,"(2) Project/Theme Leader/Key Researcher/Manager")*$D12,"not available")</f>
        <v>not available</v>
      </c>
      <c r="I12" s="13" t="str">
        <f>IFERROR(SUMIFS(INDEX(data!$B$1:$T$63,1,MATCH(LEFT($A12,SEARCH(":",$A12)-2)&amp;$C12,data!$B$1:$T$1,0)):INDEX(data!$B$1:$T$63,63,MATCH(LEFT($A12,SEARCH(":",$A12)-2)&amp;$C12,data!$B$1:$T$1,0)),
data!$B$1:$B$63,RIGHT(Basefunding!$A12,LEN($A12)-SEARCH(":",Basefunding!$A12)-1),
data!$D$1:$D$63,"(3) Researcher/Professional")*$D12,"not available")</f>
        <v>not available</v>
      </c>
      <c r="J12" s="13" t="str">
        <f>IFERROR(SUMIFS(INDEX(data!$B$1:$T$63,1,MATCH(LEFT($A12,SEARCH(":",$A12)-2)&amp;$C12,data!$B$1:$T$1,0)):INDEX(data!$B$1:$T$63,63,MATCH(LEFT($A12,SEARCH(":",$A12)-2)&amp;$C12,data!$B$1:$T$1,0)),
data!$B$1:$B$63,RIGHT(Basefunding!$A12,LEN($A12)-SEARCH(":",Basefunding!$A12)-1),
data!$D$1:$D$63,"(4) Other (support staff - technical, administrative)")*$D12,"not available")</f>
        <v>not available</v>
      </c>
      <c r="K12" s="6" t="str">
        <f t="shared" si="1"/>
        <v/>
      </c>
      <c r="L12" s="6" t="str">
        <f>IFERROR(SUMIFS(INDEX(data!$B$1:$T$63,1,MATCH(LEFT($A12,SEARCH(":",$A12)-2)&amp;$C12,data!$B$1:$T$1,0)):INDEX(data!$B$1:$T$63,63,MATCH(LEFT($A12,SEARCH(":",$A12)-2)&amp;$C12,data!$B$1:$T$1,0)),
data!$B$1:$B$63,RIGHT(Basefunding!$A12,LEN($A12)-SEARCH(":",Basefunding!$A12)-1),
data!$C$1:$C$63,"BF Other in kind")*$D12,"")</f>
        <v/>
      </c>
    </row>
    <row r="13" spans="1:12" x14ac:dyDescent="0.25">
      <c r="A13" s="113"/>
      <c r="B13" s="114"/>
      <c r="C13" s="6" t="str">
        <f t="shared" si="0"/>
        <v/>
      </c>
      <c r="D13" s="72"/>
      <c r="F13" s="6" t="str">
        <f>IFERROR(SUMIFS(INDEX(data!$B$1:$T$63,1,MATCH(LEFT($A13,SEARCH(":",$A13)-2)&amp;$C13,data!$B$1:$T$1,0)):INDEX(data!$B$1:$T$63,63,MATCH(LEFT($A13,SEARCH(":",$A13)-2)&amp;$C13,data!$B$1:$T$1,0)),
data!$B$1:$B$63,RIGHT(Basefunding!$A13,LEN($A13)-SEARCH(":",Basefunding!$A13)-1),
data!$C$1:$C$63,"BF Cash FTE")*$D13*80000,"")</f>
        <v/>
      </c>
      <c r="G13" s="13" t="str">
        <f>IFERROR(SUMIFS(INDEX(data!$B$1:$T$63,1,MATCH(LEFT($A13,SEARCH(":",$A13)-2)&amp;$C13,data!$B$1:$T$1,0)):INDEX(data!$B$1:$T$63,63,MATCH(LEFT($A13,SEARCH(":",$A13)-2)&amp;$C13,data!$B$1:$T$1,0)),
data!$B$1:$B$63,RIGHT(Basefunding!$A13,LEN($A13)-SEARCH(":",Basefunding!$A13)-1),
data!$D$1:$D$63,"(1) Programme Leader/Senior Manager")*$D13,"not available")</f>
        <v>not available</v>
      </c>
      <c r="H13" s="13" t="str">
        <f>IFERROR(SUMIFS(INDEX(data!$B$1:$T$63,1,MATCH(LEFT($A13,SEARCH(":",$A13)-2)&amp;$C13,data!$B$1:$T$1,0)):INDEX(data!$B$1:$T$63,63,MATCH(LEFT($A13,SEARCH(":",$A13)-2)&amp;$C13,data!$B$1:$T$1,0)),
data!$B$1:$B$63,RIGHT(Basefunding!$A13,LEN($A13)-SEARCH(":",Basefunding!$A13)-1),
data!$D$1:$D$63,"(2) Project/Theme Leader/Key Researcher/Manager")*$D13,"not available")</f>
        <v>not available</v>
      </c>
      <c r="I13" s="13" t="str">
        <f>IFERROR(SUMIFS(INDEX(data!$B$1:$T$63,1,MATCH(LEFT($A13,SEARCH(":",$A13)-2)&amp;$C13,data!$B$1:$T$1,0)):INDEX(data!$B$1:$T$63,63,MATCH(LEFT($A13,SEARCH(":",$A13)-2)&amp;$C13,data!$B$1:$T$1,0)),
data!$B$1:$B$63,RIGHT(Basefunding!$A13,LEN($A13)-SEARCH(":",Basefunding!$A13)-1),
data!$D$1:$D$63,"(3) Researcher/Professional")*$D13,"not available")</f>
        <v>not available</v>
      </c>
      <c r="J13" s="13" t="str">
        <f>IFERROR(SUMIFS(INDEX(data!$B$1:$T$63,1,MATCH(LEFT($A13,SEARCH(":",$A13)-2)&amp;$C13,data!$B$1:$T$1,0)):INDEX(data!$B$1:$T$63,63,MATCH(LEFT($A13,SEARCH(":",$A13)-2)&amp;$C13,data!$B$1:$T$1,0)),
data!$B$1:$B$63,RIGHT(Basefunding!$A13,LEN($A13)-SEARCH(":",Basefunding!$A13)-1),
data!$D$1:$D$63,"(4) Other (support staff - technical, administrative)")*$D13,"not available")</f>
        <v>not available</v>
      </c>
      <c r="K13" s="6" t="str">
        <f t="shared" si="1"/>
        <v/>
      </c>
      <c r="L13" s="6" t="str">
        <f>IFERROR(SUMIFS(INDEX(data!$B$1:$T$63,1,MATCH(LEFT($A13,SEARCH(":",$A13)-2)&amp;$C13,data!$B$1:$T$1,0)):INDEX(data!$B$1:$T$63,63,MATCH(LEFT($A13,SEARCH(":",$A13)-2)&amp;$C13,data!$B$1:$T$1,0)),
data!$B$1:$B$63,RIGHT(Basefunding!$A13,LEN($A13)-SEARCH(":",Basefunding!$A13)-1),
data!$C$1:$C$63,"BF Other in kind")*$D13,"")</f>
        <v/>
      </c>
    </row>
    <row r="14" spans="1:12" x14ac:dyDescent="0.25">
      <c r="A14" s="113"/>
      <c r="B14" s="114"/>
      <c r="C14" s="6" t="str">
        <f t="shared" si="0"/>
        <v/>
      </c>
      <c r="D14" s="72"/>
      <c r="F14" s="6" t="str">
        <f>IFERROR(SUMIFS(INDEX(data!$B$1:$T$63,1,MATCH(LEFT($A14,SEARCH(":",$A14)-2)&amp;$C14,data!$B$1:$T$1,0)):INDEX(data!$B$1:$T$63,63,MATCH(LEFT($A14,SEARCH(":",$A14)-2)&amp;$C14,data!$B$1:$T$1,0)),
data!$B$1:$B$63,RIGHT(Basefunding!$A14,LEN($A14)-SEARCH(":",Basefunding!$A14)-1),
data!$C$1:$C$63,"BF Cash FTE")*$D14*80000,"")</f>
        <v/>
      </c>
      <c r="G14" s="13" t="str">
        <f>IFERROR(SUMIFS(INDEX(data!$B$1:$T$63,1,MATCH(LEFT($A14,SEARCH(":",$A14)-2)&amp;$C14,data!$B$1:$T$1,0)):INDEX(data!$B$1:$T$63,63,MATCH(LEFT($A14,SEARCH(":",$A14)-2)&amp;$C14,data!$B$1:$T$1,0)),
data!$B$1:$B$63,RIGHT(Basefunding!$A14,LEN($A14)-SEARCH(":",Basefunding!$A14)-1),
data!$D$1:$D$63,"(1) Programme Leader/Senior Manager")*$D14,"not available")</f>
        <v>not available</v>
      </c>
      <c r="H14" s="13" t="str">
        <f>IFERROR(SUMIFS(INDEX(data!$B$1:$T$63,1,MATCH(LEFT($A14,SEARCH(":",$A14)-2)&amp;$C14,data!$B$1:$T$1,0)):INDEX(data!$B$1:$T$63,63,MATCH(LEFT($A14,SEARCH(":",$A14)-2)&amp;$C14,data!$B$1:$T$1,0)),
data!$B$1:$B$63,RIGHT(Basefunding!$A14,LEN($A14)-SEARCH(":",Basefunding!$A14)-1),
data!$D$1:$D$63,"(2) Project/Theme Leader/Key Researcher/Manager")*$D14,"not available")</f>
        <v>not available</v>
      </c>
      <c r="I14" s="13" t="str">
        <f>IFERROR(SUMIFS(INDEX(data!$B$1:$T$63,1,MATCH(LEFT($A14,SEARCH(":",$A14)-2)&amp;$C14,data!$B$1:$T$1,0)):INDEX(data!$B$1:$T$63,63,MATCH(LEFT($A14,SEARCH(":",$A14)-2)&amp;$C14,data!$B$1:$T$1,0)),
data!$B$1:$B$63,RIGHT(Basefunding!$A14,LEN($A14)-SEARCH(":",Basefunding!$A14)-1),
data!$D$1:$D$63,"(3) Researcher/Professional")*$D14,"not available")</f>
        <v>not available</v>
      </c>
      <c r="J14" s="13" t="str">
        <f>IFERROR(SUMIFS(INDEX(data!$B$1:$T$63,1,MATCH(LEFT($A14,SEARCH(":",$A14)-2)&amp;$C14,data!$B$1:$T$1,0)):INDEX(data!$B$1:$T$63,63,MATCH(LEFT($A14,SEARCH(":",$A14)-2)&amp;$C14,data!$B$1:$T$1,0)),
data!$B$1:$B$63,RIGHT(Basefunding!$A14,LEN($A14)-SEARCH(":",Basefunding!$A14)-1),
data!$D$1:$D$63,"(4) Other (support staff - technical, administrative)")*$D14,"not available")</f>
        <v>not available</v>
      </c>
      <c r="K14" s="6" t="str">
        <f t="shared" si="1"/>
        <v/>
      </c>
      <c r="L14" s="6" t="str">
        <f>IFERROR(SUMIFS(INDEX(data!$B$1:$T$63,1,MATCH(LEFT($A14,SEARCH(":",$A14)-2)&amp;$C14,data!$B$1:$T$1,0)):INDEX(data!$B$1:$T$63,63,MATCH(LEFT($A14,SEARCH(":",$A14)-2)&amp;$C14,data!$B$1:$T$1,0)),
data!$B$1:$B$63,RIGHT(Basefunding!$A14,LEN($A14)-SEARCH(":",Basefunding!$A14)-1),
data!$C$1:$C$63,"BF Other in kind")*$D14,"")</f>
        <v/>
      </c>
    </row>
    <row r="15" spans="1:12" x14ac:dyDescent="0.25">
      <c r="A15" s="113"/>
      <c r="B15" s="114"/>
      <c r="C15" s="6" t="str">
        <f t="shared" si="0"/>
        <v/>
      </c>
      <c r="D15" s="72"/>
      <c r="F15" s="6" t="str">
        <f>IFERROR(SUMIFS(INDEX(data!$B$1:$T$63,1,MATCH(LEFT($A15,SEARCH(":",$A15)-2)&amp;$C15,data!$B$1:$T$1,0)):INDEX(data!$B$1:$T$63,63,MATCH(LEFT($A15,SEARCH(":",$A15)-2)&amp;$C15,data!$B$1:$T$1,0)),
data!$B$1:$B$63,RIGHT(Basefunding!$A15,LEN($A15)-SEARCH(":",Basefunding!$A15)-1),
data!$C$1:$C$63,"BF Cash FTE")*$D15*80000,"")</f>
        <v/>
      </c>
      <c r="G15" s="13" t="str">
        <f>IFERROR(SUMIFS(INDEX(data!$B$1:$T$63,1,MATCH(LEFT($A15,SEARCH(":",$A15)-2)&amp;$C15,data!$B$1:$T$1,0)):INDEX(data!$B$1:$T$63,63,MATCH(LEFT($A15,SEARCH(":",$A15)-2)&amp;$C15,data!$B$1:$T$1,0)),
data!$B$1:$B$63,RIGHT(Basefunding!$A15,LEN($A15)-SEARCH(":",Basefunding!$A15)-1),
data!$D$1:$D$63,"(1) Programme Leader/Senior Manager")*$D15,"not available")</f>
        <v>not available</v>
      </c>
      <c r="H15" s="13" t="str">
        <f>IFERROR(SUMIFS(INDEX(data!$B$1:$T$63,1,MATCH(LEFT($A15,SEARCH(":",$A15)-2)&amp;$C15,data!$B$1:$T$1,0)):INDEX(data!$B$1:$T$63,63,MATCH(LEFT($A15,SEARCH(":",$A15)-2)&amp;$C15,data!$B$1:$T$1,0)),
data!$B$1:$B$63,RIGHT(Basefunding!$A15,LEN($A15)-SEARCH(":",Basefunding!$A15)-1),
data!$D$1:$D$63,"(2) Project/Theme Leader/Key Researcher/Manager")*$D15,"not available")</f>
        <v>not available</v>
      </c>
      <c r="I15" s="13" t="str">
        <f>IFERROR(SUMIFS(INDEX(data!$B$1:$T$63,1,MATCH(LEFT($A15,SEARCH(":",$A15)-2)&amp;$C15,data!$B$1:$T$1,0)):INDEX(data!$B$1:$T$63,63,MATCH(LEFT($A15,SEARCH(":",$A15)-2)&amp;$C15,data!$B$1:$T$1,0)),
data!$B$1:$B$63,RIGHT(Basefunding!$A15,LEN($A15)-SEARCH(":",Basefunding!$A15)-1),
data!$D$1:$D$63,"(3) Researcher/Professional")*$D15,"not available")</f>
        <v>not available</v>
      </c>
      <c r="J15" s="13" t="str">
        <f>IFERROR(SUMIFS(INDEX(data!$B$1:$T$63,1,MATCH(LEFT($A15,SEARCH(":",$A15)-2)&amp;$C15,data!$B$1:$T$1,0)):INDEX(data!$B$1:$T$63,63,MATCH(LEFT($A15,SEARCH(":",$A15)-2)&amp;$C15,data!$B$1:$T$1,0)),
data!$B$1:$B$63,RIGHT(Basefunding!$A15,LEN($A15)-SEARCH(":",Basefunding!$A15)-1),
data!$D$1:$D$63,"(4) Other (support staff - technical, administrative)")*$D15,"not available")</f>
        <v>not available</v>
      </c>
      <c r="K15" s="6" t="str">
        <f t="shared" si="1"/>
        <v/>
      </c>
      <c r="L15" s="6" t="str">
        <f>IFERROR(SUMIFS(INDEX(data!$B$1:$T$63,1,MATCH(LEFT($A15,SEARCH(":",$A15)-2)&amp;$C15,data!$B$1:$T$1,0)):INDEX(data!$B$1:$T$63,63,MATCH(LEFT($A15,SEARCH(":",$A15)-2)&amp;$C15,data!$B$1:$T$1,0)),
data!$B$1:$B$63,RIGHT(Basefunding!$A15,LEN($A15)-SEARCH(":",Basefunding!$A15)-1),
data!$C$1:$C$63,"BF Other in kind")*$D15,"")</f>
        <v/>
      </c>
    </row>
    <row r="16" spans="1:12" x14ac:dyDescent="0.25">
      <c r="A16" s="113"/>
      <c r="B16" s="114"/>
      <c r="C16" s="6" t="str">
        <f t="shared" si="0"/>
        <v/>
      </c>
      <c r="D16" s="72"/>
      <c r="F16" s="6" t="str">
        <f>IFERROR(SUMIFS(INDEX(data!$B$1:$T$63,1,MATCH(LEFT($A16,SEARCH(":",$A16)-2)&amp;$C16,data!$B$1:$T$1,0)):INDEX(data!$B$1:$T$63,63,MATCH(LEFT($A16,SEARCH(":",$A16)-2)&amp;$C16,data!$B$1:$T$1,0)),
data!$B$1:$B$63,RIGHT(Basefunding!$A16,LEN($A16)-SEARCH(":",Basefunding!$A16)-1),
data!$C$1:$C$63,"BF Cash FTE")*$D16*80000,"")</f>
        <v/>
      </c>
      <c r="G16" s="13" t="str">
        <f>IFERROR(SUMIFS(INDEX(data!$B$1:$T$63,1,MATCH(LEFT($A16,SEARCH(":",$A16)-2)&amp;$C16,data!$B$1:$T$1,0)):INDEX(data!$B$1:$T$63,63,MATCH(LEFT($A16,SEARCH(":",$A16)-2)&amp;$C16,data!$B$1:$T$1,0)),
data!$B$1:$B$63,RIGHT(Basefunding!$A16,LEN($A16)-SEARCH(":",Basefunding!$A16)-1),
data!$D$1:$D$63,"(1) Programme Leader/Senior Manager")*$D16,"not available")</f>
        <v>not available</v>
      </c>
      <c r="H16" s="13" t="str">
        <f>IFERROR(SUMIFS(INDEX(data!$B$1:$T$63,1,MATCH(LEFT($A16,SEARCH(":",$A16)-2)&amp;$C16,data!$B$1:$T$1,0)):INDEX(data!$B$1:$T$63,63,MATCH(LEFT($A16,SEARCH(":",$A16)-2)&amp;$C16,data!$B$1:$T$1,0)),
data!$B$1:$B$63,RIGHT(Basefunding!$A16,LEN($A16)-SEARCH(":",Basefunding!$A16)-1),
data!$D$1:$D$63,"(2) Project/Theme Leader/Key Researcher/Manager")*$D16,"not available")</f>
        <v>not available</v>
      </c>
      <c r="I16" s="13" t="str">
        <f>IFERROR(SUMIFS(INDEX(data!$B$1:$T$63,1,MATCH(LEFT($A16,SEARCH(":",$A16)-2)&amp;$C16,data!$B$1:$T$1,0)):INDEX(data!$B$1:$T$63,63,MATCH(LEFT($A16,SEARCH(":",$A16)-2)&amp;$C16,data!$B$1:$T$1,0)),
data!$B$1:$B$63,RIGHT(Basefunding!$A16,LEN($A16)-SEARCH(":",Basefunding!$A16)-1),
data!$D$1:$D$63,"(3) Researcher/Professional")*$D16,"not available")</f>
        <v>not available</v>
      </c>
      <c r="J16" s="13" t="str">
        <f>IFERROR(SUMIFS(INDEX(data!$B$1:$T$63,1,MATCH(LEFT($A16,SEARCH(":",$A16)-2)&amp;$C16,data!$B$1:$T$1,0)):INDEX(data!$B$1:$T$63,63,MATCH(LEFT($A16,SEARCH(":",$A16)-2)&amp;$C16,data!$B$1:$T$1,0)),
data!$B$1:$B$63,RIGHT(Basefunding!$A16,LEN($A16)-SEARCH(":",Basefunding!$A16)-1),
data!$D$1:$D$63,"(4) Other (support staff - technical, administrative)")*$D16,"not available")</f>
        <v>not available</v>
      </c>
      <c r="K16" s="6" t="str">
        <f t="shared" si="1"/>
        <v/>
      </c>
      <c r="L16" s="6" t="str">
        <f>IFERROR(SUMIFS(INDEX(data!$B$1:$T$63,1,MATCH(LEFT($A16,SEARCH(":",$A16)-2)&amp;$C16,data!$B$1:$T$1,0)):INDEX(data!$B$1:$T$63,63,MATCH(LEFT($A16,SEARCH(":",$A16)-2)&amp;$C16,data!$B$1:$T$1,0)),
data!$B$1:$B$63,RIGHT(Basefunding!$A16,LEN($A16)-SEARCH(":",Basefunding!$A16)-1),
data!$C$1:$C$63,"BF Other in kind")*$D16,"")</f>
        <v/>
      </c>
    </row>
    <row r="17" spans="1:12" x14ac:dyDescent="0.25">
      <c r="A17" s="113"/>
      <c r="B17" s="114"/>
      <c r="C17" s="6" t="str">
        <f t="shared" si="0"/>
        <v/>
      </c>
      <c r="D17" s="72"/>
      <c r="F17" s="6" t="str">
        <f>IFERROR(SUMIFS(INDEX(data!$B$1:$T$63,1,MATCH(LEFT($A17,SEARCH(":",$A17)-2)&amp;$C17,data!$B$1:$T$1,0)):INDEX(data!$B$1:$T$63,63,MATCH(LEFT($A17,SEARCH(":",$A17)-2)&amp;$C17,data!$B$1:$T$1,0)),
data!$B$1:$B$63,RIGHT(Basefunding!$A17,LEN($A17)-SEARCH(":",Basefunding!$A17)-1),
data!$C$1:$C$63,"BF Cash FTE")*$D17*80000,"")</f>
        <v/>
      </c>
      <c r="G17" s="13" t="str">
        <f>IFERROR(SUMIFS(INDEX(data!$B$1:$T$63,1,MATCH(LEFT($A17,SEARCH(":",$A17)-2)&amp;$C17,data!$B$1:$T$1,0)):INDEX(data!$B$1:$T$63,63,MATCH(LEFT($A17,SEARCH(":",$A17)-2)&amp;$C17,data!$B$1:$T$1,0)),
data!$B$1:$B$63,RIGHT(Basefunding!$A17,LEN($A17)-SEARCH(":",Basefunding!$A17)-1),
data!$D$1:$D$63,"(1) Programme Leader/Senior Manager")*$D17,"not available")</f>
        <v>not available</v>
      </c>
      <c r="H17" s="13" t="str">
        <f>IFERROR(SUMIFS(INDEX(data!$B$1:$T$63,1,MATCH(LEFT($A17,SEARCH(":",$A17)-2)&amp;$C17,data!$B$1:$T$1,0)):INDEX(data!$B$1:$T$63,63,MATCH(LEFT($A17,SEARCH(":",$A17)-2)&amp;$C17,data!$B$1:$T$1,0)),
data!$B$1:$B$63,RIGHT(Basefunding!$A17,LEN($A17)-SEARCH(":",Basefunding!$A17)-1),
data!$D$1:$D$63,"(2) Project/Theme Leader/Key Researcher/Manager")*$D17,"not available")</f>
        <v>not available</v>
      </c>
      <c r="I17" s="13" t="str">
        <f>IFERROR(SUMIFS(INDEX(data!$B$1:$T$63,1,MATCH(LEFT($A17,SEARCH(":",$A17)-2)&amp;$C17,data!$B$1:$T$1,0)):INDEX(data!$B$1:$T$63,63,MATCH(LEFT($A17,SEARCH(":",$A17)-2)&amp;$C17,data!$B$1:$T$1,0)),
data!$B$1:$B$63,RIGHT(Basefunding!$A17,LEN($A17)-SEARCH(":",Basefunding!$A17)-1),
data!$D$1:$D$63,"(3) Researcher/Professional")*$D17,"not available")</f>
        <v>not available</v>
      </c>
      <c r="J17" s="13" t="str">
        <f>IFERROR(SUMIFS(INDEX(data!$B$1:$T$63,1,MATCH(LEFT($A17,SEARCH(":",$A17)-2)&amp;$C17,data!$B$1:$T$1,0)):INDEX(data!$B$1:$T$63,63,MATCH(LEFT($A17,SEARCH(":",$A17)-2)&amp;$C17,data!$B$1:$T$1,0)),
data!$B$1:$B$63,RIGHT(Basefunding!$A17,LEN($A17)-SEARCH(":",Basefunding!$A17)-1),
data!$D$1:$D$63,"(4) Other (support staff - technical, administrative)")*$D17,"not available")</f>
        <v>not available</v>
      </c>
      <c r="K17" s="6" t="str">
        <f t="shared" si="1"/>
        <v/>
      </c>
      <c r="L17" s="6" t="str">
        <f>IFERROR(SUMIFS(INDEX(data!$B$1:$T$63,1,MATCH(LEFT($A17,SEARCH(":",$A17)-2)&amp;$C17,data!$B$1:$T$1,0)):INDEX(data!$B$1:$T$63,63,MATCH(LEFT($A17,SEARCH(":",$A17)-2)&amp;$C17,data!$B$1:$T$1,0)),
data!$B$1:$B$63,RIGHT(Basefunding!$A17,LEN($A17)-SEARCH(":",Basefunding!$A17)-1),
data!$C$1:$C$63,"BF Other in kind")*$D17,"")</f>
        <v/>
      </c>
    </row>
    <row r="18" spans="1:12" x14ac:dyDescent="0.25">
      <c r="A18" s="113"/>
      <c r="B18" s="114"/>
      <c r="C18" s="6" t="str">
        <f t="shared" si="0"/>
        <v/>
      </c>
      <c r="D18" s="72"/>
      <c r="F18" s="6" t="str">
        <f>IFERROR(SUMIFS(INDEX(data!$B$1:$T$63,1,MATCH(LEFT($A18,SEARCH(":",$A18)-2)&amp;$C18,data!$B$1:$T$1,0)):INDEX(data!$B$1:$T$63,63,MATCH(LEFT($A18,SEARCH(":",$A18)-2)&amp;$C18,data!$B$1:$T$1,0)),
data!$B$1:$B$63,RIGHT(Basefunding!$A18,LEN($A18)-SEARCH(":",Basefunding!$A18)-1),
data!$C$1:$C$63,"BF Cash FTE")*$D18*80000,"")</f>
        <v/>
      </c>
      <c r="G18" s="13" t="str">
        <f>IFERROR(SUMIFS(INDEX(data!$B$1:$T$63,1,MATCH(LEFT($A18,SEARCH(":",$A18)-2)&amp;$C18,data!$B$1:$T$1,0)):INDEX(data!$B$1:$T$63,63,MATCH(LEFT($A18,SEARCH(":",$A18)-2)&amp;$C18,data!$B$1:$T$1,0)),
data!$B$1:$B$63,RIGHT(Basefunding!$A18,LEN($A18)-SEARCH(":",Basefunding!$A18)-1),
data!$D$1:$D$63,"(1) Programme Leader/Senior Manager")*$D18,"not available")</f>
        <v>not available</v>
      </c>
      <c r="H18" s="13" t="str">
        <f>IFERROR(SUMIFS(INDEX(data!$B$1:$T$63,1,MATCH(LEFT($A18,SEARCH(":",$A18)-2)&amp;$C18,data!$B$1:$T$1,0)):INDEX(data!$B$1:$T$63,63,MATCH(LEFT($A18,SEARCH(":",$A18)-2)&amp;$C18,data!$B$1:$T$1,0)),
data!$B$1:$B$63,RIGHT(Basefunding!$A18,LEN($A18)-SEARCH(":",Basefunding!$A18)-1),
data!$D$1:$D$63,"(2) Project/Theme Leader/Key Researcher/Manager")*$D18,"not available")</f>
        <v>not available</v>
      </c>
      <c r="I18" s="13" t="str">
        <f>IFERROR(SUMIFS(INDEX(data!$B$1:$T$63,1,MATCH(LEFT($A18,SEARCH(":",$A18)-2)&amp;$C18,data!$B$1:$T$1,0)):INDEX(data!$B$1:$T$63,63,MATCH(LEFT($A18,SEARCH(":",$A18)-2)&amp;$C18,data!$B$1:$T$1,0)),
data!$B$1:$B$63,RIGHT(Basefunding!$A18,LEN($A18)-SEARCH(":",Basefunding!$A18)-1),
data!$D$1:$D$63,"(3) Researcher/Professional")*$D18,"not available")</f>
        <v>not available</v>
      </c>
      <c r="J18" s="13" t="str">
        <f>IFERROR(SUMIFS(INDEX(data!$B$1:$T$63,1,MATCH(LEFT($A18,SEARCH(":",$A18)-2)&amp;$C18,data!$B$1:$T$1,0)):INDEX(data!$B$1:$T$63,63,MATCH(LEFT($A18,SEARCH(":",$A18)-2)&amp;$C18,data!$B$1:$T$1,0)),
data!$B$1:$B$63,RIGHT(Basefunding!$A18,LEN($A18)-SEARCH(":",Basefunding!$A18)-1),
data!$D$1:$D$63,"(4) Other (support staff - technical, administrative)")*$D18,"not available")</f>
        <v>not available</v>
      </c>
      <c r="K18" s="6" t="str">
        <f t="shared" si="1"/>
        <v/>
      </c>
      <c r="L18" s="6" t="str">
        <f>IFERROR(SUMIFS(INDEX(data!$B$1:$T$63,1,MATCH(LEFT($A18,SEARCH(":",$A18)-2)&amp;$C18,data!$B$1:$T$1,0)):INDEX(data!$B$1:$T$63,63,MATCH(LEFT($A18,SEARCH(":",$A18)-2)&amp;$C18,data!$B$1:$T$1,0)),
data!$B$1:$B$63,RIGHT(Basefunding!$A18,LEN($A18)-SEARCH(":",Basefunding!$A18)-1),
data!$C$1:$C$63,"BF Other in kind")*$D18,"")</f>
        <v/>
      </c>
    </row>
    <row r="20" spans="1:12" x14ac:dyDescent="0.25">
      <c r="A20" s="7" t="s">
        <v>3</v>
      </c>
      <c r="B20" s="7"/>
      <c r="C20" s="7"/>
      <c r="D20" s="14">
        <f>SUM(D4:D18)</f>
        <v>0</v>
      </c>
      <c r="F20" s="15">
        <f>SUM(F4:F18)</f>
        <v>0</v>
      </c>
      <c r="G20" s="16">
        <f t="shared" ref="G20:J20" si="2">SUM(G4:G18)</f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5">
        <f>SUM(K4:K18)</f>
        <v>0</v>
      </c>
      <c r="L20" s="15">
        <f>SUM(L4:L18)</f>
        <v>0</v>
      </c>
    </row>
  </sheetData>
  <sheetProtection password="8644" sheet="1" objects="1" scenarios="1" formatRows="0" insertRows="0" selectLockedCells="1"/>
  <mergeCells count="17">
    <mergeCell ref="A1:L1"/>
    <mergeCell ref="A3:B3"/>
    <mergeCell ref="A4:B4"/>
    <mergeCell ref="A5:B5"/>
    <mergeCell ref="A6:B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dataValidations count="2">
    <dataValidation type="list" allowBlank="1" showInputMessage="1" showErrorMessage="1" errorTitle="Selection error" error="Please select location and facility type from the available list" promptTitle="Location / Facility type" prompt="Please select location and facility type from the available list" sqref="A4:B18">
      <formula1>Facilities</formula1>
    </dataValidation>
    <dataValidation type="decimal" allowBlank="1" showInputMessage="1" showErrorMessage="1" errorTitle="Entry error" error="Enter as a decimal the number of equivalent base experiments that will be used at this facility in the selected financial year" promptTitle="Number of experiments" prompt="Please enter as a decimal the number of equivalent base experiments that will be used at this facility in the 2017/18 financial year" sqref="D4:D18">
      <formula1>0</formula1>
      <formula2>50</formula2>
    </dataValidation>
  </dataValidations>
  <pageMargins left="0.7" right="0.7" top="0.75" bottom="0.75" header="0.3" footer="0.3"/>
  <pageSetup paperSize="9" scale="7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95"/>
  <sheetViews>
    <sheetView topLeftCell="F1" workbookViewId="0">
      <selection activeCell="O2" sqref="O2:Q2"/>
    </sheetView>
  </sheetViews>
  <sheetFormatPr defaultRowHeight="15" x14ac:dyDescent="0.25"/>
  <cols>
    <col min="1" max="1" width="2.85546875" customWidth="1"/>
    <col min="2" max="2" width="55.28515625" bestFit="1" customWidth="1"/>
    <col min="3" max="3" width="20.28515625" bestFit="1" customWidth="1"/>
    <col min="4" max="4" width="43.7109375" bestFit="1" customWidth="1"/>
    <col min="5" max="5" width="2.140625" customWidth="1"/>
    <col min="6" max="20" width="13.7109375" customWidth="1"/>
  </cols>
  <sheetData>
    <row r="1" spans="1:20" x14ac:dyDescent="0.25">
      <c r="B1" t="s">
        <v>45</v>
      </c>
      <c r="F1" t="str">
        <f>F2&amp;F3</f>
        <v>Rivalea2018/19</v>
      </c>
      <c r="G1" t="str">
        <f t="shared" ref="G1:T1" si="0">G2&amp;G3</f>
        <v>Rivalea2017/18</v>
      </c>
      <c r="H1" t="str">
        <f t="shared" si="0"/>
        <v>Rivalea2016/17</v>
      </c>
      <c r="I1" t="str">
        <f t="shared" si="0"/>
        <v>SunPork - North2018/19</v>
      </c>
      <c r="J1" t="str">
        <f t="shared" si="0"/>
        <v>SunPork - North2017/18</v>
      </c>
      <c r="K1" t="str">
        <f t="shared" si="0"/>
        <v>SunPork - North2016/17</v>
      </c>
      <c r="L1" t="str">
        <f t="shared" si="0"/>
        <v>SunPork - South2018/19</v>
      </c>
      <c r="M1" t="str">
        <f t="shared" si="0"/>
        <v>SunPork - South2017/18</v>
      </c>
      <c r="N1" t="str">
        <f t="shared" si="0"/>
        <v>SunPork - South2016/17</v>
      </c>
      <c r="O1" t="str">
        <f t="shared" si="0"/>
        <v>PIWA (Medina)2018/19</v>
      </c>
      <c r="P1" t="str">
        <f t="shared" si="0"/>
        <v>PIWA (Medina)2017/18</v>
      </c>
      <c r="Q1" t="str">
        <f t="shared" si="0"/>
        <v>PIWA (Medina)2016/17</v>
      </c>
      <c r="R1" t="str">
        <f t="shared" si="0"/>
        <v>Roseworthy2018/19</v>
      </c>
      <c r="S1" t="str">
        <f t="shared" si="0"/>
        <v>Roseworthy2017/18</v>
      </c>
      <c r="T1" t="str">
        <f t="shared" si="0"/>
        <v>Roseworthy2016/17</v>
      </c>
    </row>
    <row r="2" spans="1:20" ht="15.75" x14ac:dyDescent="0.3">
      <c r="B2" t="s">
        <v>48</v>
      </c>
      <c r="C2" s="5" t="s">
        <v>49</v>
      </c>
      <c r="D2" s="5" t="s">
        <v>50</v>
      </c>
      <c r="F2" s="8" t="s">
        <v>46</v>
      </c>
      <c r="G2" s="8" t="s">
        <v>46</v>
      </c>
      <c r="H2" s="8" t="s">
        <v>46</v>
      </c>
      <c r="I2" s="9" t="s">
        <v>69</v>
      </c>
      <c r="J2" s="9" t="s">
        <v>69</v>
      </c>
      <c r="K2" s="9" t="s">
        <v>69</v>
      </c>
      <c r="L2" s="8" t="s">
        <v>70</v>
      </c>
      <c r="M2" s="8" t="s">
        <v>70</v>
      </c>
      <c r="N2" s="8" t="s">
        <v>70</v>
      </c>
      <c r="O2" s="8" t="s">
        <v>81</v>
      </c>
      <c r="P2" s="8" t="s">
        <v>81</v>
      </c>
      <c r="Q2" s="8" t="s">
        <v>81</v>
      </c>
      <c r="R2" s="8" t="s">
        <v>47</v>
      </c>
      <c r="S2" s="8" t="s">
        <v>47</v>
      </c>
      <c r="T2" s="8" t="s">
        <v>47</v>
      </c>
    </row>
    <row r="3" spans="1:20" x14ac:dyDescent="0.25">
      <c r="F3" t="s">
        <v>20</v>
      </c>
      <c r="G3" t="s">
        <v>18</v>
      </c>
      <c r="H3" t="s">
        <v>17</v>
      </c>
      <c r="I3" t="s">
        <v>20</v>
      </c>
      <c r="J3" t="s">
        <v>18</v>
      </c>
      <c r="K3" t="s">
        <v>17</v>
      </c>
      <c r="L3" t="s">
        <v>20</v>
      </c>
      <c r="M3" t="s">
        <v>18</v>
      </c>
      <c r="N3" t="s">
        <v>17</v>
      </c>
      <c r="O3" t="s">
        <v>20</v>
      </c>
      <c r="P3" t="s">
        <v>18</v>
      </c>
      <c r="Q3" t="s">
        <v>17</v>
      </c>
      <c r="R3" t="s">
        <v>20</v>
      </c>
      <c r="S3" t="s">
        <v>18</v>
      </c>
      <c r="T3" t="s">
        <v>17</v>
      </c>
    </row>
    <row r="4" spans="1:20" ht="15.75" x14ac:dyDescent="0.3">
      <c r="A4">
        <v>1</v>
      </c>
      <c r="B4" t="s">
        <v>51</v>
      </c>
      <c r="C4" t="s">
        <v>52</v>
      </c>
      <c r="D4" t="s">
        <v>53</v>
      </c>
      <c r="F4" s="10">
        <v>0.37</v>
      </c>
      <c r="G4" s="10">
        <v>0.37</v>
      </c>
      <c r="H4" s="10">
        <v>0.37</v>
      </c>
      <c r="I4" s="11">
        <v>1</v>
      </c>
      <c r="J4" s="11">
        <v>1</v>
      </c>
      <c r="K4" s="11">
        <v>1</v>
      </c>
      <c r="L4" s="11">
        <v>0.3</v>
      </c>
      <c r="M4" s="11">
        <v>0.3</v>
      </c>
      <c r="N4" s="11">
        <v>0.3</v>
      </c>
      <c r="O4" s="11">
        <v>0</v>
      </c>
      <c r="P4" s="11">
        <v>0</v>
      </c>
      <c r="Q4" s="11">
        <v>0</v>
      </c>
      <c r="R4" s="11">
        <v>0.3</v>
      </c>
      <c r="S4" s="11">
        <v>0.3</v>
      </c>
      <c r="T4" s="11">
        <v>0.3</v>
      </c>
    </row>
    <row r="5" spans="1:20" ht="15.75" x14ac:dyDescent="0.3">
      <c r="A5">
        <v>1</v>
      </c>
      <c r="B5" t="s">
        <v>51</v>
      </c>
      <c r="C5" t="s">
        <v>54</v>
      </c>
      <c r="D5" t="s">
        <v>55</v>
      </c>
      <c r="F5" s="10">
        <v>0</v>
      </c>
      <c r="G5" s="10">
        <v>0</v>
      </c>
      <c r="H5" s="10">
        <v>0</v>
      </c>
      <c r="I5" s="11">
        <v>0.04</v>
      </c>
      <c r="J5" s="11">
        <v>0.04</v>
      </c>
      <c r="K5" s="11">
        <v>0.04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</row>
    <row r="6" spans="1:20" ht="15.75" x14ac:dyDescent="0.3">
      <c r="A6">
        <v>1</v>
      </c>
      <c r="B6" t="s">
        <v>51</v>
      </c>
      <c r="C6" t="s">
        <v>54</v>
      </c>
      <c r="D6" t="s">
        <v>56</v>
      </c>
      <c r="F6" s="10">
        <v>1.4999999999999999E-2</v>
      </c>
      <c r="G6" s="10">
        <v>1.4999999999999999E-2</v>
      </c>
      <c r="H6" s="10">
        <v>1.4999999999999999E-2</v>
      </c>
      <c r="I6" s="11">
        <v>0</v>
      </c>
      <c r="J6" s="11">
        <v>0</v>
      </c>
      <c r="K6" s="11">
        <v>0</v>
      </c>
      <c r="L6" s="11">
        <v>0.05</v>
      </c>
      <c r="M6" s="11">
        <v>0.05</v>
      </c>
      <c r="N6" s="11">
        <v>0.05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</row>
    <row r="7" spans="1:20" ht="15.75" x14ac:dyDescent="0.3">
      <c r="A7">
        <v>1</v>
      </c>
      <c r="B7" t="s">
        <v>51</v>
      </c>
      <c r="C7" t="s">
        <v>54</v>
      </c>
      <c r="D7" t="s">
        <v>57</v>
      </c>
      <c r="F7" s="10">
        <v>0</v>
      </c>
      <c r="G7" s="10">
        <v>0</v>
      </c>
      <c r="H7" s="10">
        <v>0</v>
      </c>
      <c r="I7" s="11">
        <v>0.41</v>
      </c>
      <c r="J7" s="11">
        <v>0.41</v>
      </c>
      <c r="K7" s="11">
        <v>0.41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</row>
    <row r="8" spans="1:20" ht="15.75" x14ac:dyDescent="0.3">
      <c r="A8">
        <v>1</v>
      </c>
      <c r="B8" t="s">
        <v>51</v>
      </c>
      <c r="C8" t="s">
        <v>54</v>
      </c>
      <c r="D8" t="s">
        <v>58</v>
      </c>
      <c r="F8" s="10">
        <v>3.5000000000000003E-2</v>
      </c>
      <c r="G8" s="10">
        <v>3.5000000000000003E-2</v>
      </c>
      <c r="H8" s="10">
        <v>3.5000000000000003E-2</v>
      </c>
      <c r="I8" s="11">
        <v>0</v>
      </c>
      <c r="J8" s="11">
        <v>0</v>
      </c>
      <c r="K8" s="11">
        <v>0</v>
      </c>
      <c r="L8" s="11">
        <v>0.49</v>
      </c>
      <c r="M8" s="11">
        <v>0.49</v>
      </c>
      <c r="N8" s="11">
        <v>0.49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</row>
    <row r="9" spans="1:20" ht="15.75" x14ac:dyDescent="0.3">
      <c r="A9">
        <v>1</v>
      </c>
      <c r="B9" t="s">
        <v>51</v>
      </c>
      <c r="C9" t="s">
        <v>59</v>
      </c>
      <c r="D9" t="s">
        <v>53</v>
      </c>
      <c r="F9" s="12">
        <v>18504</v>
      </c>
      <c r="G9" s="12">
        <v>18504</v>
      </c>
      <c r="H9" s="12">
        <v>18504</v>
      </c>
      <c r="I9" s="12">
        <v>61845</v>
      </c>
      <c r="J9" s="12">
        <v>61845</v>
      </c>
      <c r="K9" s="12">
        <v>61845</v>
      </c>
      <c r="L9" s="12">
        <v>12960</v>
      </c>
      <c r="M9" s="12">
        <v>12960</v>
      </c>
      <c r="N9" s="12">
        <v>12960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</row>
    <row r="10" spans="1:20" ht="15.75" x14ac:dyDescent="0.3">
      <c r="A10">
        <v>2</v>
      </c>
      <c r="B10" t="s">
        <v>60</v>
      </c>
      <c r="C10" t="s">
        <v>52</v>
      </c>
      <c r="D10" t="s">
        <v>53</v>
      </c>
      <c r="F10" s="10">
        <v>0.32</v>
      </c>
      <c r="G10" s="10">
        <v>0.32</v>
      </c>
      <c r="H10" s="10">
        <v>0.32</v>
      </c>
      <c r="I10" s="11">
        <v>0.25</v>
      </c>
      <c r="J10" s="11">
        <v>0.25</v>
      </c>
      <c r="K10" s="11">
        <v>0.25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</row>
    <row r="11" spans="1:20" ht="15.75" x14ac:dyDescent="0.3">
      <c r="A11">
        <v>2</v>
      </c>
      <c r="B11" t="s">
        <v>60</v>
      </c>
      <c r="C11" t="s">
        <v>54</v>
      </c>
      <c r="D11" t="s">
        <v>55</v>
      </c>
      <c r="F11" s="10">
        <v>0</v>
      </c>
      <c r="G11" s="10">
        <v>0</v>
      </c>
      <c r="H11" s="10">
        <v>0</v>
      </c>
      <c r="I11" s="11">
        <v>0.02</v>
      </c>
      <c r="J11" s="11">
        <v>0.02</v>
      </c>
      <c r="K11" s="11">
        <v>0.02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</row>
    <row r="12" spans="1:20" ht="15.75" x14ac:dyDescent="0.3">
      <c r="A12">
        <v>2</v>
      </c>
      <c r="B12" t="s">
        <v>60</v>
      </c>
      <c r="C12" t="s">
        <v>54</v>
      </c>
      <c r="D12" t="s">
        <v>56</v>
      </c>
      <c r="F12" s="10">
        <v>1.4999999999999999E-2</v>
      </c>
      <c r="G12" s="10">
        <v>1.4999999999999999E-2</v>
      </c>
      <c r="H12" s="10">
        <v>1.4999999999999999E-2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15.75" x14ac:dyDescent="0.3">
      <c r="A13">
        <v>2</v>
      </c>
      <c r="B13" t="s">
        <v>60</v>
      </c>
      <c r="C13" t="s">
        <v>54</v>
      </c>
      <c r="D13" t="s">
        <v>57</v>
      </c>
      <c r="F13" s="10">
        <v>0</v>
      </c>
      <c r="G13" s="10">
        <v>0</v>
      </c>
      <c r="H13" s="10">
        <v>0</v>
      </c>
      <c r="I13" s="11">
        <v>0.18</v>
      </c>
      <c r="J13" s="11">
        <v>0.18</v>
      </c>
      <c r="K13" s="11">
        <v>0.18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15.75" x14ac:dyDescent="0.3">
      <c r="A14">
        <v>2</v>
      </c>
      <c r="B14" t="s">
        <v>60</v>
      </c>
      <c r="C14" t="s">
        <v>54</v>
      </c>
      <c r="D14" t="s">
        <v>58</v>
      </c>
      <c r="F14" s="10">
        <v>3.5000000000000003E-2</v>
      </c>
      <c r="G14" s="10">
        <v>3.5000000000000003E-2</v>
      </c>
      <c r="H14" s="10">
        <v>3.5000000000000003E-2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ht="15.75" x14ac:dyDescent="0.3">
      <c r="A15">
        <v>2</v>
      </c>
      <c r="B15" t="s">
        <v>60</v>
      </c>
      <c r="C15" t="s">
        <v>59</v>
      </c>
      <c r="D15" t="s">
        <v>53</v>
      </c>
      <c r="F15" s="12">
        <v>9252</v>
      </c>
      <c r="G15" s="12">
        <v>9252</v>
      </c>
      <c r="H15" s="12">
        <v>9252</v>
      </c>
      <c r="I15" s="12">
        <v>2968</v>
      </c>
      <c r="J15" s="12">
        <v>2968</v>
      </c>
      <c r="K15" s="12">
        <v>2968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</row>
    <row r="16" spans="1:20" ht="15.75" x14ac:dyDescent="0.3">
      <c r="A16">
        <v>3</v>
      </c>
      <c r="B16" t="s">
        <v>61</v>
      </c>
      <c r="C16" t="s">
        <v>52</v>
      </c>
      <c r="D16" t="s">
        <v>53</v>
      </c>
      <c r="F16" s="10">
        <v>0.09</v>
      </c>
      <c r="G16" s="10">
        <v>0.09</v>
      </c>
      <c r="H16" s="10">
        <v>0.09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ht="15.75" x14ac:dyDescent="0.3">
      <c r="A17">
        <v>3</v>
      </c>
      <c r="B17" t="s">
        <v>61</v>
      </c>
      <c r="C17" t="s">
        <v>54</v>
      </c>
      <c r="D17" t="s">
        <v>55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ht="15.75" x14ac:dyDescent="0.3">
      <c r="A18">
        <v>3</v>
      </c>
      <c r="B18" t="s">
        <v>61</v>
      </c>
      <c r="C18" t="s">
        <v>54</v>
      </c>
      <c r="D18" t="s">
        <v>56</v>
      </c>
      <c r="F18" s="10">
        <v>1.4999999999999999E-2</v>
      </c>
      <c r="G18" s="10">
        <v>1.4999999999999999E-2</v>
      </c>
      <c r="H18" s="10">
        <v>1.4999999999999999E-2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ht="15.75" x14ac:dyDescent="0.3">
      <c r="A19">
        <v>3</v>
      </c>
      <c r="B19" t="s">
        <v>61</v>
      </c>
      <c r="C19" t="s">
        <v>54</v>
      </c>
      <c r="D19" t="s">
        <v>57</v>
      </c>
      <c r="F19" s="10">
        <v>0</v>
      </c>
      <c r="G19" s="10">
        <v>0</v>
      </c>
      <c r="H19" s="10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ht="15.75" x14ac:dyDescent="0.3">
      <c r="A20">
        <v>3</v>
      </c>
      <c r="B20" t="s">
        <v>61</v>
      </c>
      <c r="C20" t="s">
        <v>54</v>
      </c>
      <c r="D20" t="s">
        <v>58</v>
      </c>
      <c r="F20" s="10">
        <v>3.5000000000000003E-2</v>
      </c>
      <c r="G20" s="10">
        <v>3.5000000000000003E-2</v>
      </c>
      <c r="H20" s="10">
        <v>3.5000000000000003E-2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ht="15.75" x14ac:dyDescent="0.3">
      <c r="A21">
        <v>3</v>
      </c>
      <c r="B21" t="s">
        <v>61</v>
      </c>
      <c r="C21" t="s">
        <v>59</v>
      </c>
      <c r="D21" t="s">
        <v>53</v>
      </c>
      <c r="F21" s="12">
        <v>2313</v>
      </c>
      <c r="G21" s="12">
        <v>2313</v>
      </c>
      <c r="H21" s="12">
        <v>2313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</row>
    <row r="22" spans="1:20" ht="15.75" x14ac:dyDescent="0.3">
      <c r="A22">
        <v>4</v>
      </c>
      <c r="B22" t="s">
        <v>62</v>
      </c>
      <c r="C22" t="s">
        <v>52</v>
      </c>
      <c r="D22" t="s">
        <v>53</v>
      </c>
      <c r="F22" s="10">
        <v>0.17</v>
      </c>
      <c r="G22" s="10">
        <v>0.17</v>
      </c>
      <c r="H22" s="10">
        <v>0.17</v>
      </c>
      <c r="I22" s="11">
        <v>0.52</v>
      </c>
      <c r="J22" s="11">
        <v>0.52</v>
      </c>
      <c r="K22" s="11">
        <v>0.52</v>
      </c>
      <c r="L22" s="11">
        <v>0.2</v>
      </c>
      <c r="M22" s="11">
        <v>0.2</v>
      </c>
      <c r="N22" s="11">
        <v>0.2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ht="15.75" x14ac:dyDescent="0.3">
      <c r="A23">
        <v>4</v>
      </c>
      <c r="B23" t="s">
        <v>62</v>
      </c>
      <c r="C23" t="s">
        <v>54</v>
      </c>
      <c r="D23" t="s">
        <v>55</v>
      </c>
      <c r="F23" s="10">
        <v>0</v>
      </c>
      <c r="G23" s="10">
        <v>0</v>
      </c>
      <c r="H23" s="10">
        <v>0</v>
      </c>
      <c r="I23" s="11">
        <v>0.03</v>
      </c>
      <c r="J23" s="11">
        <v>0.03</v>
      </c>
      <c r="K23" s="11">
        <v>0.03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</row>
    <row r="24" spans="1:20" ht="15.75" x14ac:dyDescent="0.3">
      <c r="A24">
        <v>4</v>
      </c>
      <c r="B24" t="s">
        <v>62</v>
      </c>
      <c r="C24" t="s">
        <v>54</v>
      </c>
      <c r="D24" t="s">
        <v>56</v>
      </c>
      <c r="F24" s="10">
        <v>1.4999999999999999E-2</v>
      </c>
      <c r="G24" s="10">
        <v>1.4999999999999999E-2</v>
      </c>
      <c r="H24" s="10">
        <v>1.4999999999999999E-2</v>
      </c>
      <c r="I24" s="11">
        <v>0</v>
      </c>
      <c r="J24" s="11">
        <v>0</v>
      </c>
      <c r="K24" s="11">
        <v>0</v>
      </c>
      <c r="L24" s="11">
        <v>0.05</v>
      </c>
      <c r="M24" s="11">
        <v>0.05</v>
      </c>
      <c r="N24" s="11">
        <v>0.05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</row>
    <row r="25" spans="1:20" ht="15.75" x14ac:dyDescent="0.3">
      <c r="A25">
        <v>4</v>
      </c>
      <c r="B25" t="s">
        <v>62</v>
      </c>
      <c r="C25" t="s">
        <v>54</v>
      </c>
      <c r="D25" t="s">
        <v>57</v>
      </c>
      <c r="F25" s="10">
        <v>0</v>
      </c>
      <c r="G25" s="10">
        <v>0</v>
      </c>
      <c r="H25" s="10">
        <v>0</v>
      </c>
      <c r="I25" s="11">
        <v>0.27</v>
      </c>
      <c r="J25" s="11">
        <v>0.27</v>
      </c>
      <c r="K25" s="11">
        <v>0.27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5.75" x14ac:dyDescent="0.3">
      <c r="A26">
        <v>4</v>
      </c>
      <c r="B26" t="s">
        <v>62</v>
      </c>
      <c r="C26" t="s">
        <v>54</v>
      </c>
      <c r="D26" t="s">
        <v>58</v>
      </c>
      <c r="F26" s="10">
        <v>3.5000000000000003E-2</v>
      </c>
      <c r="G26" s="10">
        <v>3.5000000000000003E-2</v>
      </c>
      <c r="H26" s="10">
        <v>3.5000000000000003E-2</v>
      </c>
      <c r="I26" s="11">
        <v>0</v>
      </c>
      <c r="J26" s="11">
        <v>0</v>
      </c>
      <c r="K26" s="11">
        <v>0</v>
      </c>
      <c r="L26" s="11">
        <v>0.26</v>
      </c>
      <c r="M26" s="11">
        <v>0.26</v>
      </c>
      <c r="N26" s="11">
        <v>0.26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</row>
    <row r="27" spans="1:20" ht="15.75" x14ac:dyDescent="0.3">
      <c r="A27">
        <v>4</v>
      </c>
      <c r="B27" t="s">
        <v>62</v>
      </c>
      <c r="C27" t="s">
        <v>59</v>
      </c>
      <c r="D27" t="s">
        <v>53</v>
      </c>
      <c r="F27" s="12">
        <v>45144</v>
      </c>
      <c r="G27" s="12">
        <v>45144</v>
      </c>
      <c r="H27" s="12">
        <v>45144</v>
      </c>
      <c r="I27" s="12">
        <v>66792</v>
      </c>
      <c r="J27" s="12">
        <v>66792</v>
      </c>
      <c r="K27" s="12">
        <v>66792</v>
      </c>
      <c r="L27" s="12">
        <v>23023</v>
      </c>
      <c r="M27" s="12">
        <v>23023</v>
      </c>
      <c r="N27" s="12">
        <v>23023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ht="15.75" x14ac:dyDescent="0.3">
      <c r="A28">
        <v>5</v>
      </c>
      <c r="B28" t="s">
        <v>63</v>
      </c>
      <c r="C28" t="s">
        <v>52</v>
      </c>
      <c r="D28" t="s">
        <v>53</v>
      </c>
      <c r="F28" s="10">
        <v>0.2</v>
      </c>
      <c r="G28" s="10">
        <v>0.2</v>
      </c>
      <c r="H28" s="10">
        <v>0.2</v>
      </c>
      <c r="I28" s="11">
        <v>0.5</v>
      </c>
      <c r="J28" s="11">
        <v>0.5</v>
      </c>
      <c r="K28" s="11">
        <v>0.5</v>
      </c>
      <c r="L28" s="11">
        <v>0.2</v>
      </c>
      <c r="M28" s="11">
        <v>0.2</v>
      </c>
      <c r="N28" s="11">
        <v>0.2</v>
      </c>
      <c r="O28" s="11">
        <v>0</v>
      </c>
      <c r="P28" s="11">
        <v>0</v>
      </c>
      <c r="Q28" s="11">
        <v>0</v>
      </c>
      <c r="R28" s="11">
        <v>0.15</v>
      </c>
      <c r="S28" s="11">
        <v>0.15</v>
      </c>
      <c r="T28" s="11">
        <v>0.15</v>
      </c>
    </row>
    <row r="29" spans="1:20" ht="15.75" x14ac:dyDescent="0.3">
      <c r="A29">
        <v>5</v>
      </c>
      <c r="B29" t="s">
        <v>63</v>
      </c>
      <c r="C29" t="s">
        <v>54</v>
      </c>
      <c r="D29" t="s">
        <v>55</v>
      </c>
      <c r="F29" s="10">
        <v>0</v>
      </c>
      <c r="G29" s="10">
        <v>0</v>
      </c>
      <c r="H29" s="10">
        <v>0</v>
      </c>
      <c r="I29" s="11">
        <v>0.05</v>
      </c>
      <c r="J29" s="11">
        <v>0.05</v>
      </c>
      <c r="K29" s="11">
        <v>0.05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</row>
    <row r="30" spans="1:20" ht="15.75" x14ac:dyDescent="0.3">
      <c r="A30">
        <v>5</v>
      </c>
      <c r="B30" t="s">
        <v>63</v>
      </c>
      <c r="C30" t="s">
        <v>54</v>
      </c>
      <c r="D30" t="s">
        <v>56</v>
      </c>
      <c r="F30" s="10">
        <v>1.4999999999999999E-2</v>
      </c>
      <c r="G30" s="10">
        <v>1.4999999999999999E-2</v>
      </c>
      <c r="H30" s="10">
        <v>1.4999999999999999E-2</v>
      </c>
      <c r="I30" s="11">
        <v>0</v>
      </c>
      <c r="J30" s="11">
        <v>0</v>
      </c>
      <c r="K30" s="11">
        <v>0</v>
      </c>
      <c r="L30" s="11">
        <v>0.05</v>
      </c>
      <c r="M30" s="11">
        <v>0.05</v>
      </c>
      <c r="N30" s="11">
        <v>0.05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</row>
    <row r="31" spans="1:20" ht="15.75" x14ac:dyDescent="0.3">
      <c r="A31">
        <v>5</v>
      </c>
      <c r="B31" t="s">
        <v>63</v>
      </c>
      <c r="C31" t="s">
        <v>54</v>
      </c>
      <c r="D31" t="s">
        <v>57</v>
      </c>
      <c r="F31" s="10">
        <v>0</v>
      </c>
      <c r="G31" s="10">
        <v>0</v>
      </c>
      <c r="H31" s="10">
        <v>0</v>
      </c>
      <c r="I31" s="11">
        <v>0.45</v>
      </c>
      <c r="J31" s="11">
        <v>0.45</v>
      </c>
      <c r="K31" s="11">
        <v>0.45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</row>
    <row r="32" spans="1:20" ht="15.75" x14ac:dyDescent="0.3">
      <c r="A32">
        <v>5</v>
      </c>
      <c r="B32" t="s">
        <v>63</v>
      </c>
      <c r="C32" t="s">
        <v>54</v>
      </c>
      <c r="D32" t="s">
        <v>58</v>
      </c>
      <c r="F32" s="10">
        <v>3.5000000000000003E-2</v>
      </c>
      <c r="G32" s="10">
        <v>3.5000000000000003E-2</v>
      </c>
      <c r="H32" s="10">
        <v>3.5000000000000003E-2</v>
      </c>
      <c r="I32" s="11">
        <v>0</v>
      </c>
      <c r="J32" s="11">
        <v>0</v>
      </c>
      <c r="K32" s="11">
        <v>0</v>
      </c>
      <c r="L32" s="11">
        <v>0.32</v>
      </c>
      <c r="M32" s="11">
        <v>0.32</v>
      </c>
      <c r="N32" s="11">
        <v>0.32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5.75" x14ac:dyDescent="0.3">
      <c r="A33">
        <v>5</v>
      </c>
      <c r="B33" t="s">
        <v>63</v>
      </c>
      <c r="C33" t="s">
        <v>59</v>
      </c>
      <c r="D33" t="s">
        <v>53</v>
      </c>
      <c r="F33" s="12">
        <v>74419</v>
      </c>
      <c r="G33" s="12">
        <v>74419</v>
      </c>
      <c r="H33" s="12">
        <v>74419</v>
      </c>
      <c r="I33" s="12">
        <v>12369</v>
      </c>
      <c r="J33" s="12">
        <v>12369</v>
      </c>
      <c r="K33" s="12">
        <v>12369</v>
      </c>
      <c r="L33" s="12">
        <v>41860</v>
      </c>
      <c r="M33" s="12">
        <v>41860</v>
      </c>
      <c r="N33" s="12">
        <v>41860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ht="15.75" x14ac:dyDescent="0.3">
      <c r="A34">
        <v>7</v>
      </c>
      <c r="B34" t="s">
        <v>64</v>
      </c>
      <c r="C34" t="s">
        <v>52</v>
      </c>
      <c r="D34" t="s">
        <v>53</v>
      </c>
      <c r="F34" s="10">
        <v>0.15</v>
      </c>
      <c r="G34" s="10">
        <v>0.15</v>
      </c>
      <c r="H34" s="10">
        <v>0.15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0.15</v>
      </c>
      <c r="P34" s="11">
        <v>0.15</v>
      </c>
      <c r="Q34" s="11">
        <v>0.15</v>
      </c>
      <c r="R34" s="11">
        <v>0</v>
      </c>
      <c r="S34" s="11">
        <v>0</v>
      </c>
      <c r="T34" s="11">
        <v>0</v>
      </c>
    </row>
    <row r="35" spans="1:20" ht="15.75" x14ac:dyDescent="0.3">
      <c r="A35">
        <v>7</v>
      </c>
      <c r="B35" t="s">
        <v>64</v>
      </c>
      <c r="C35" t="s">
        <v>54</v>
      </c>
      <c r="D35" t="s">
        <v>55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</row>
    <row r="36" spans="1:20" ht="15.75" x14ac:dyDescent="0.3">
      <c r="A36">
        <v>7</v>
      </c>
      <c r="B36" t="s">
        <v>64</v>
      </c>
      <c r="C36" t="s">
        <v>54</v>
      </c>
      <c r="D36" t="s">
        <v>56</v>
      </c>
      <c r="F36" s="10">
        <v>1.4999999999999999E-2</v>
      </c>
      <c r="G36" s="10">
        <v>1.4999999999999999E-2</v>
      </c>
      <c r="H36" s="10">
        <v>1.4999999999999999E-2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0.1</v>
      </c>
      <c r="P36" s="11">
        <v>0.1</v>
      </c>
      <c r="Q36" s="11">
        <v>0.1</v>
      </c>
      <c r="R36" s="11">
        <v>0</v>
      </c>
      <c r="S36" s="11">
        <v>0</v>
      </c>
      <c r="T36" s="11">
        <v>0</v>
      </c>
    </row>
    <row r="37" spans="1:20" ht="15.75" x14ac:dyDescent="0.3">
      <c r="A37">
        <v>7</v>
      </c>
      <c r="B37" t="s">
        <v>64</v>
      </c>
      <c r="C37" t="s">
        <v>54</v>
      </c>
      <c r="D37" t="s">
        <v>57</v>
      </c>
      <c r="F37" s="10">
        <v>0</v>
      </c>
      <c r="G37" s="10">
        <v>0</v>
      </c>
      <c r="H37" s="10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</row>
    <row r="38" spans="1:20" ht="15.75" x14ac:dyDescent="0.3">
      <c r="A38">
        <v>7</v>
      </c>
      <c r="B38" t="s">
        <v>64</v>
      </c>
      <c r="C38" t="s">
        <v>54</v>
      </c>
      <c r="D38" t="s">
        <v>58</v>
      </c>
      <c r="F38" s="10">
        <v>1.4999999999999999E-2</v>
      </c>
      <c r="G38" s="10">
        <v>1.4999999999999999E-2</v>
      </c>
      <c r="H38" s="10">
        <v>1.4999999999999999E-2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0.1</v>
      </c>
      <c r="P38" s="11">
        <v>0.1</v>
      </c>
      <c r="Q38" s="11">
        <v>0.1</v>
      </c>
      <c r="R38" s="11">
        <v>0</v>
      </c>
      <c r="S38" s="11">
        <v>0</v>
      </c>
      <c r="T38" s="11">
        <v>0</v>
      </c>
    </row>
    <row r="39" spans="1:20" ht="15.75" x14ac:dyDescent="0.3">
      <c r="A39">
        <v>7</v>
      </c>
      <c r="B39" t="s">
        <v>64</v>
      </c>
      <c r="C39" t="s">
        <v>59</v>
      </c>
      <c r="D39" t="s">
        <v>53</v>
      </c>
      <c r="F39" s="12">
        <v>2900</v>
      </c>
      <c r="G39" s="12">
        <v>2900</v>
      </c>
      <c r="H39" s="12">
        <v>2900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2">
        <v>12000</v>
      </c>
      <c r="P39" s="12">
        <v>12000</v>
      </c>
      <c r="Q39" s="12">
        <v>12000</v>
      </c>
      <c r="R39" s="11">
        <v>0</v>
      </c>
      <c r="S39" s="11">
        <v>0</v>
      </c>
      <c r="T39" s="11">
        <v>0</v>
      </c>
    </row>
    <row r="40" spans="1:20" ht="15.75" x14ac:dyDescent="0.3">
      <c r="A40">
        <v>8</v>
      </c>
      <c r="B40" t="s">
        <v>65</v>
      </c>
      <c r="C40" t="s">
        <v>52</v>
      </c>
      <c r="D40" t="s">
        <v>53</v>
      </c>
      <c r="F40" s="10">
        <v>0.2</v>
      </c>
      <c r="G40" s="10">
        <v>0.2</v>
      </c>
      <c r="H40" s="10">
        <v>0.2</v>
      </c>
      <c r="I40" s="11">
        <v>0.5</v>
      </c>
      <c r="J40" s="11">
        <v>0.5</v>
      </c>
      <c r="K40" s="11">
        <v>0.5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ht="15.75" x14ac:dyDescent="0.3">
      <c r="A41">
        <v>8</v>
      </c>
      <c r="B41" t="s">
        <v>65</v>
      </c>
      <c r="C41" t="s">
        <v>54</v>
      </c>
      <c r="D41" t="s">
        <v>55</v>
      </c>
      <c r="F41" s="10">
        <v>0</v>
      </c>
      <c r="G41" s="10">
        <v>0</v>
      </c>
      <c r="H41" s="10">
        <v>0</v>
      </c>
      <c r="I41" s="11">
        <v>0.02</v>
      </c>
      <c r="J41" s="11">
        <v>0.02</v>
      </c>
      <c r="K41" s="11">
        <v>0.02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</row>
    <row r="42" spans="1:20" ht="15.75" x14ac:dyDescent="0.3">
      <c r="A42">
        <v>8</v>
      </c>
      <c r="B42" t="s">
        <v>65</v>
      </c>
      <c r="C42" t="s">
        <v>54</v>
      </c>
      <c r="D42" t="s">
        <v>56</v>
      </c>
      <c r="F42" s="10">
        <v>1.4999999999999999E-2</v>
      </c>
      <c r="G42" s="10">
        <v>1.4999999999999999E-2</v>
      </c>
      <c r="H42" s="10">
        <v>1.4999999999999999E-2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</row>
    <row r="43" spans="1:20" ht="15.75" x14ac:dyDescent="0.3">
      <c r="A43">
        <v>8</v>
      </c>
      <c r="B43" t="s">
        <v>65</v>
      </c>
      <c r="C43" t="s">
        <v>54</v>
      </c>
      <c r="D43" t="s">
        <v>57</v>
      </c>
      <c r="F43" s="10">
        <v>0</v>
      </c>
      <c r="G43" s="10">
        <v>0</v>
      </c>
      <c r="H43" s="10">
        <v>0</v>
      </c>
      <c r="I43" s="11">
        <v>0.23</v>
      </c>
      <c r="J43" s="11">
        <v>0.23</v>
      </c>
      <c r="K43" s="11">
        <v>0.23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</row>
    <row r="44" spans="1:20" ht="15.75" x14ac:dyDescent="0.3">
      <c r="A44">
        <v>8</v>
      </c>
      <c r="B44" t="s">
        <v>65</v>
      </c>
      <c r="C44" t="s">
        <v>54</v>
      </c>
      <c r="D44" t="s">
        <v>58</v>
      </c>
      <c r="F44" s="10">
        <v>1.4999999999999999E-2</v>
      </c>
      <c r="G44" s="10">
        <v>1.4999999999999999E-2</v>
      </c>
      <c r="H44" s="10">
        <v>1.4999999999999999E-2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</row>
    <row r="45" spans="1:20" ht="15.75" x14ac:dyDescent="0.3">
      <c r="A45">
        <v>8</v>
      </c>
      <c r="B45" t="s">
        <v>65</v>
      </c>
      <c r="C45" t="s">
        <v>59</v>
      </c>
      <c r="D45" t="s">
        <v>53</v>
      </c>
      <c r="F45" s="12">
        <v>20462</v>
      </c>
      <c r="G45" s="12">
        <v>20462</v>
      </c>
      <c r="H45" s="12">
        <v>20462</v>
      </c>
      <c r="I45" s="12">
        <v>2500</v>
      </c>
      <c r="J45" s="12">
        <v>2500</v>
      </c>
      <c r="K45" s="12">
        <v>2500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</row>
    <row r="46" spans="1:20" ht="15.75" x14ac:dyDescent="0.3">
      <c r="A46">
        <v>9</v>
      </c>
      <c r="B46" t="s">
        <v>66</v>
      </c>
      <c r="C46" t="s">
        <v>52</v>
      </c>
      <c r="D46" t="s">
        <v>53</v>
      </c>
      <c r="F46" s="10">
        <v>0.15</v>
      </c>
      <c r="G46" s="10">
        <v>0.15</v>
      </c>
      <c r="H46" s="10">
        <v>0.15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0.34</v>
      </c>
      <c r="P46" s="11">
        <v>0.34</v>
      </c>
      <c r="Q46" s="11">
        <v>0.34</v>
      </c>
      <c r="R46" s="11">
        <v>0</v>
      </c>
      <c r="S46" s="11">
        <v>0</v>
      </c>
      <c r="T46" s="11">
        <v>0</v>
      </c>
    </row>
    <row r="47" spans="1:20" ht="15.75" x14ac:dyDescent="0.3">
      <c r="A47">
        <v>9</v>
      </c>
      <c r="B47" t="s">
        <v>66</v>
      </c>
      <c r="C47" t="s">
        <v>54</v>
      </c>
      <c r="D47" t="s">
        <v>55</v>
      </c>
      <c r="F47" s="10">
        <v>0</v>
      </c>
      <c r="G47" s="10">
        <v>0</v>
      </c>
      <c r="H47" s="10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</row>
    <row r="48" spans="1:20" ht="15.75" x14ac:dyDescent="0.3">
      <c r="A48">
        <v>9</v>
      </c>
      <c r="B48" t="s">
        <v>66</v>
      </c>
      <c r="C48" t="s">
        <v>54</v>
      </c>
      <c r="D48" t="s">
        <v>56</v>
      </c>
      <c r="F48" s="10">
        <v>1.4999999999999999E-2</v>
      </c>
      <c r="G48" s="10">
        <v>1.4999999999999999E-2</v>
      </c>
      <c r="H48" s="10">
        <v>1.4999999999999999E-2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0.1</v>
      </c>
      <c r="P48" s="11">
        <v>0.1</v>
      </c>
      <c r="Q48" s="11">
        <v>0.1</v>
      </c>
      <c r="R48" s="11">
        <v>0</v>
      </c>
      <c r="S48" s="11">
        <v>0</v>
      </c>
      <c r="T48" s="11">
        <v>0</v>
      </c>
    </row>
    <row r="49" spans="1:20" ht="15.75" x14ac:dyDescent="0.3">
      <c r="A49">
        <v>9</v>
      </c>
      <c r="B49" t="s">
        <v>66</v>
      </c>
      <c r="C49" t="s">
        <v>54</v>
      </c>
      <c r="D49" t="s">
        <v>57</v>
      </c>
      <c r="F49" s="10">
        <v>0</v>
      </c>
      <c r="G49" s="10">
        <v>0</v>
      </c>
      <c r="H49" s="10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0.1</v>
      </c>
      <c r="P49" s="11">
        <v>0.1</v>
      </c>
      <c r="Q49" s="11">
        <v>0.1</v>
      </c>
      <c r="R49" s="11">
        <v>0</v>
      </c>
      <c r="S49" s="11">
        <v>0</v>
      </c>
      <c r="T49" s="11">
        <v>0</v>
      </c>
    </row>
    <row r="50" spans="1:20" ht="15.75" x14ac:dyDescent="0.3">
      <c r="A50">
        <v>9</v>
      </c>
      <c r="B50" t="s">
        <v>66</v>
      </c>
      <c r="C50" t="s">
        <v>54</v>
      </c>
      <c r="D50" t="s">
        <v>58</v>
      </c>
      <c r="F50" s="10">
        <v>1.4999999999999999E-2</v>
      </c>
      <c r="G50" s="10">
        <v>1.4999999999999999E-2</v>
      </c>
      <c r="H50" s="10">
        <v>1.4999999999999999E-2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0.1</v>
      </c>
      <c r="P50" s="11">
        <v>0.1</v>
      </c>
      <c r="Q50" s="11">
        <v>0.1</v>
      </c>
      <c r="R50" s="11">
        <v>0</v>
      </c>
      <c r="S50" s="11">
        <v>0</v>
      </c>
      <c r="T50" s="11">
        <v>0</v>
      </c>
    </row>
    <row r="51" spans="1:20" ht="15.75" x14ac:dyDescent="0.3">
      <c r="A51">
        <v>9</v>
      </c>
      <c r="B51" t="s">
        <v>66</v>
      </c>
      <c r="C51" t="s">
        <v>59</v>
      </c>
      <c r="D51" t="s">
        <v>53</v>
      </c>
      <c r="F51" s="12">
        <v>5670</v>
      </c>
      <c r="G51" s="12">
        <v>5670</v>
      </c>
      <c r="H51" s="12">
        <v>5670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2">
        <v>8000</v>
      </c>
      <c r="P51" s="12">
        <v>8000</v>
      </c>
      <c r="Q51" s="12">
        <v>8000</v>
      </c>
      <c r="R51" s="11">
        <v>0</v>
      </c>
      <c r="S51" s="11">
        <v>0</v>
      </c>
      <c r="T51" s="11">
        <v>0</v>
      </c>
    </row>
    <row r="52" spans="1:20" ht="15.75" x14ac:dyDescent="0.3">
      <c r="A52">
        <v>10</v>
      </c>
      <c r="B52" t="s">
        <v>67</v>
      </c>
      <c r="C52" t="s">
        <v>52</v>
      </c>
      <c r="D52" t="s">
        <v>53</v>
      </c>
      <c r="F52" s="10">
        <v>0.5</v>
      </c>
      <c r="G52" s="10">
        <v>0.5</v>
      </c>
      <c r="H52" s="10">
        <v>0.5</v>
      </c>
      <c r="I52" s="11">
        <v>0.17</v>
      </c>
      <c r="J52" s="11">
        <v>0.17</v>
      </c>
      <c r="K52" s="11">
        <v>0.17</v>
      </c>
      <c r="L52" s="11">
        <v>0.25</v>
      </c>
      <c r="M52" s="11">
        <v>0.25</v>
      </c>
      <c r="N52" s="11">
        <v>0.25</v>
      </c>
      <c r="O52" s="11">
        <v>0.25</v>
      </c>
      <c r="P52" s="11">
        <v>0.25</v>
      </c>
      <c r="Q52" s="11">
        <v>0.25</v>
      </c>
      <c r="R52" s="11">
        <v>0</v>
      </c>
      <c r="S52" s="11">
        <v>0</v>
      </c>
      <c r="T52" s="11">
        <v>0</v>
      </c>
    </row>
    <row r="53" spans="1:20" ht="15.75" x14ac:dyDescent="0.3">
      <c r="A53">
        <v>10</v>
      </c>
      <c r="B53" t="s">
        <v>67</v>
      </c>
      <c r="C53" t="s">
        <v>54</v>
      </c>
      <c r="D53" t="s">
        <v>55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</row>
    <row r="54" spans="1:20" ht="15.75" x14ac:dyDescent="0.3">
      <c r="A54">
        <v>10</v>
      </c>
      <c r="B54" t="s">
        <v>67</v>
      </c>
      <c r="C54" t="s">
        <v>54</v>
      </c>
      <c r="D54" t="s">
        <v>56</v>
      </c>
      <c r="F54" s="10">
        <v>1.4999999999999999E-2</v>
      </c>
      <c r="G54" s="10">
        <v>1.4999999999999999E-2</v>
      </c>
      <c r="H54" s="10">
        <v>1.4999999999999999E-2</v>
      </c>
      <c r="I54" s="11">
        <v>0</v>
      </c>
      <c r="J54" s="11">
        <v>0</v>
      </c>
      <c r="K54" s="11">
        <v>0</v>
      </c>
      <c r="L54" s="11">
        <v>0.05</v>
      </c>
      <c r="M54" s="11">
        <v>0.05</v>
      </c>
      <c r="N54" s="11">
        <v>0.05</v>
      </c>
      <c r="O54" s="11">
        <v>0.1</v>
      </c>
      <c r="P54" s="11">
        <v>0.1</v>
      </c>
      <c r="Q54" s="11">
        <v>0.1</v>
      </c>
      <c r="R54" s="11">
        <v>0</v>
      </c>
      <c r="S54" s="11">
        <v>0</v>
      </c>
      <c r="T54" s="11">
        <v>0</v>
      </c>
    </row>
    <row r="55" spans="1:20" ht="15.75" x14ac:dyDescent="0.3">
      <c r="A55">
        <v>10</v>
      </c>
      <c r="B55" t="s">
        <v>67</v>
      </c>
      <c r="C55" t="s">
        <v>54</v>
      </c>
      <c r="D55" t="s">
        <v>57</v>
      </c>
      <c r="F55" s="10">
        <v>0</v>
      </c>
      <c r="G55" s="10">
        <v>0</v>
      </c>
      <c r="H55" s="10">
        <v>0</v>
      </c>
      <c r="I55" s="11">
        <v>0.05</v>
      </c>
      <c r="J55" s="11">
        <v>0.05</v>
      </c>
      <c r="K55" s="11">
        <v>0.05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ht="15.75" x14ac:dyDescent="0.3">
      <c r="A56">
        <v>10</v>
      </c>
      <c r="B56" t="s">
        <v>67</v>
      </c>
      <c r="C56" t="s">
        <v>54</v>
      </c>
      <c r="D56" t="s">
        <v>58</v>
      </c>
      <c r="F56" s="10">
        <v>1.4999999999999999E-2</v>
      </c>
      <c r="G56" s="10">
        <v>1.4999999999999999E-2</v>
      </c>
      <c r="H56" s="10">
        <v>1.4999999999999999E-2</v>
      </c>
      <c r="I56" s="11">
        <v>0</v>
      </c>
      <c r="J56" s="11">
        <v>0</v>
      </c>
      <c r="K56" s="11">
        <v>0</v>
      </c>
      <c r="L56" s="11">
        <v>0.39</v>
      </c>
      <c r="M56" s="11">
        <v>0.39</v>
      </c>
      <c r="N56" s="11">
        <v>0.39</v>
      </c>
      <c r="O56" s="11">
        <v>0.1</v>
      </c>
      <c r="P56" s="11">
        <v>0.1</v>
      </c>
      <c r="Q56" s="11">
        <v>0.1</v>
      </c>
      <c r="R56" s="11">
        <v>0</v>
      </c>
      <c r="S56" s="11">
        <v>0</v>
      </c>
      <c r="T56" s="11">
        <v>0</v>
      </c>
    </row>
    <row r="57" spans="1:20" ht="15.75" x14ac:dyDescent="0.3">
      <c r="A57">
        <v>10</v>
      </c>
      <c r="B57" t="s">
        <v>67</v>
      </c>
      <c r="C57" t="s">
        <v>59</v>
      </c>
      <c r="D57" t="s">
        <v>53</v>
      </c>
      <c r="F57" s="12">
        <v>118944</v>
      </c>
      <c r="G57" s="12">
        <v>118944</v>
      </c>
      <c r="H57" s="12">
        <v>118944</v>
      </c>
      <c r="I57" s="12">
        <v>2430</v>
      </c>
      <c r="J57" s="12">
        <v>2430</v>
      </c>
      <c r="K57" s="12">
        <v>2430</v>
      </c>
      <c r="L57" s="12">
        <v>25200</v>
      </c>
      <c r="M57" s="12">
        <v>25200</v>
      </c>
      <c r="N57" s="12">
        <v>25200</v>
      </c>
      <c r="O57" s="12">
        <v>15000</v>
      </c>
      <c r="P57" s="12">
        <v>15000</v>
      </c>
      <c r="Q57" s="12">
        <v>15000</v>
      </c>
      <c r="R57" s="11">
        <v>0</v>
      </c>
      <c r="S57" s="11">
        <v>0</v>
      </c>
      <c r="T57" s="11">
        <v>0</v>
      </c>
    </row>
    <row r="58" spans="1:20" ht="15.75" x14ac:dyDescent="0.3">
      <c r="A58">
        <v>13</v>
      </c>
      <c r="B58" t="s">
        <v>68</v>
      </c>
      <c r="C58" t="s">
        <v>52</v>
      </c>
      <c r="D58" t="s">
        <v>53</v>
      </c>
      <c r="F58" s="10">
        <v>0</v>
      </c>
      <c r="G58" s="10">
        <v>0</v>
      </c>
      <c r="H58" s="10">
        <v>0</v>
      </c>
      <c r="I58" s="11">
        <v>0</v>
      </c>
      <c r="J58" s="11">
        <v>0</v>
      </c>
      <c r="K58" s="11">
        <v>0</v>
      </c>
      <c r="L58" s="11">
        <v>0.35</v>
      </c>
      <c r="M58" s="11">
        <v>0.35</v>
      </c>
      <c r="N58" s="11">
        <v>0.35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ht="15.75" x14ac:dyDescent="0.3">
      <c r="A59">
        <v>13</v>
      </c>
      <c r="B59" t="s">
        <v>68</v>
      </c>
      <c r="C59" t="s">
        <v>54</v>
      </c>
      <c r="D59" t="s">
        <v>55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1">
        <v>0</v>
      </c>
      <c r="M59" s="11">
        <v>0</v>
      </c>
      <c r="N59" s="11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1:20" ht="15.75" x14ac:dyDescent="0.3">
      <c r="A60">
        <v>13</v>
      </c>
      <c r="B60" t="s">
        <v>68</v>
      </c>
      <c r="C60" t="s">
        <v>54</v>
      </c>
      <c r="D60" t="s">
        <v>56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1">
        <v>0.05</v>
      </c>
      <c r="M60" s="11">
        <v>0.05</v>
      </c>
      <c r="N60" s="11">
        <v>0.05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 ht="15.75" x14ac:dyDescent="0.3">
      <c r="A61">
        <v>13</v>
      </c>
      <c r="B61" t="s">
        <v>68</v>
      </c>
      <c r="C61" t="s">
        <v>54</v>
      </c>
      <c r="D61" t="s">
        <v>57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1">
        <v>0</v>
      </c>
      <c r="M61" s="11">
        <v>0</v>
      </c>
      <c r="N61" s="11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</row>
    <row r="62" spans="1:20" ht="15.75" x14ac:dyDescent="0.3">
      <c r="A62">
        <v>13</v>
      </c>
      <c r="B62" t="s">
        <v>68</v>
      </c>
      <c r="C62" t="s">
        <v>54</v>
      </c>
      <c r="D62" t="s">
        <v>58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1">
        <v>0.35</v>
      </c>
      <c r="M62" s="11">
        <v>0.35</v>
      </c>
      <c r="N62" s="11">
        <v>0.35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1:20" ht="15.75" x14ac:dyDescent="0.3">
      <c r="A63">
        <v>13</v>
      </c>
      <c r="B63" t="s">
        <v>68</v>
      </c>
      <c r="C63" t="s">
        <v>59</v>
      </c>
      <c r="D63" t="s">
        <v>53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2">
        <v>24927</v>
      </c>
      <c r="M63" s="12">
        <v>24927</v>
      </c>
      <c r="N63" s="12">
        <v>24927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</row>
    <row r="71" spans="2:6" x14ac:dyDescent="0.25">
      <c r="B71" t="s">
        <v>51</v>
      </c>
      <c r="C71" t="s">
        <v>46</v>
      </c>
      <c r="F71" t="str">
        <f t="shared" ref="F71:F95" si="1">C71&amp;" : "&amp;B71</f>
        <v>Rivalea : Sow Model - Lactating studies, Farrowing house, 25 days</v>
      </c>
    </row>
    <row r="72" spans="2:6" x14ac:dyDescent="0.25">
      <c r="B72" t="s">
        <v>60</v>
      </c>
      <c r="C72" t="s">
        <v>46</v>
      </c>
      <c r="F72" t="str">
        <f t="shared" si="1"/>
        <v>Rivalea : Sow Model - Lactating studies - Individual intensive, 25 days</v>
      </c>
    </row>
    <row r="73" spans="2:6" x14ac:dyDescent="0.25">
      <c r="B73" t="s">
        <v>61</v>
      </c>
      <c r="C73" t="s">
        <v>46</v>
      </c>
      <c r="F73" t="str">
        <f t="shared" si="1"/>
        <v>Rivalea : Sow Model - Lactating studies - Pig Safe Group 25 days</v>
      </c>
    </row>
    <row r="74" spans="2:6" x14ac:dyDescent="0.25">
      <c r="B74" t="s">
        <v>62</v>
      </c>
      <c r="C74" t="s">
        <v>46</v>
      </c>
      <c r="F74" t="str">
        <f t="shared" si="1"/>
        <v>Rivalea : Sow model - group gestating ESF 115 days</v>
      </c>
    </row>
    <row r="75" spans="2:6" x14ac:dyDescent="0.25">
      <c r="B75" t="s">
        <v>63</v>
      </c>
      <c r="C75" t="s">
        <v>46</v>
      </c>
      <c r="F75" t="str">
        <f t="shared" si="1"/>
        <v>Rivalea : Sow model - Group Pen gestating - 115 days</v>
      </c>
    </row>
    <row r="76" spans="2:6" x14ac:dyDescent="0.25">
      <c r="B76" t="s">
        <v>64</v>
      </c>
      <c r="C76" t="s">
        <v>46</v>
      </c>
      <c r="F76" t="str">
        <f t="shared" si="1"/>
        <v>Rivalea : Weaner Model (Individual)</v>
      </c>
    </row>
    <row r="77" spans="2:6" x14ac:dyDescent="0.25">
      <c r="B77" t="s">
        <v>65</v>
      </c>
      <c r="C77" t="s">
        <v>46</v>
      </c>
      <c r="F77" t="str">
        <f t="shared" si="1"/>
        <v>Rivalea : Weaner Model (Group)</v>
      </c>
    </row>
    <row r="78" spans="2:6" x14ac:dyDescent="0.25">
      <c r="B78" t="s">
        <v>66</v>
      </c>
      <c r="C78" t="s">
        <v>46</v>
      </c>
      <c r="F78" t="str">
        <f t="shared" si="1"/>
        <v>Rivalea : GF Model - individual intensive  40 days</v>
      </c>
    </row>
    <row r="79" spans="2:6" x14ac:dyDescent="0.25">
      <c r="B79" t="s">
        <v>67</v>
      </c>
      <c r="C79" t="s">
        <v>46</v>
      </c>
      <c r="F79" t="str">
        <f t="shared" si="1"/>
        <v>Rivalea : GF Model - group Pen  40 days</v>
      </c>
    </row>
    <row r="80" spans="2:6" x14ac:dyDescent="0.25">
      <c r="B80" t="s">
        <v>51</v>
      </c>
      <c r="C80" t="s">
        <v>69</v>
      </c>
      <c r="F80" t="str">
        <f t="shared" si="1"/>
        <v>SunPork - North : Sow Model - Lactating studies, Farrowing house, 25 days</v>
      </c>
    </row>
    <row r="81" spans="2:6" x14ac:dyDescent="0.25">
      <c r="B81" t="s">
        <v>60</v>
      </c>
      <c r="C81" t="s">
        <v>69</v>
      </c>
      <c r="F81" t="str">
        <f t="shared" si="1"/>
        <v>SunPork - North : Sow Model - Lactating studies - Individual intensive, 25 days</v>
      </c>
    </row>
    <row r="82" spans="2:6" x14ac:dyDescent="0.25">
      <c r="B82" t="s">
        <v>62</v>
      </c>
      <c r="C82" t="s">
        <v>69</v>
      </c>
      <c r="F82" t="str">
        <f t="shared" si="1"/>
        <v>SunPork - North : Sow model - group gestating ESF 115 days</v>
      </c>
    </row>
    <row r="83" spans="2:6" x14ac:dyDescent="0.25">
      <c r="B83" t="s">
        <v>63</v>
      </c>
      <c r="C83" t="s">
        <v>69</v>
      </c>
      <c r="F83" t="str">
        <f t="shared" si="1"/>
        <v>SunPork - North : Sow model - Group Pen gestating - 115 days</v>
      </c>
    </row>
    <row r="84" spans="2:6" x14ac:dyDescent="0.25">
      <c r="B84" t="s">
        <v>65</v>
      </c>
      <c r="C84" t="s">
        <v>69</v>
      </c>
      <c r="F84" t="str">
        <f t="shared" si="1"/>
        <v>SunPork - North : Weaner Model (Group)</v>
      </c>
    </row>
    <row r="85" spans="2:6" x14ac:dyDescent="0.25">
      <c r="B85" t="s">
        <v>67</v>
      </c>
      <c r="C85" t="s">
        <v>69</v>
      </c>
      <c r="F85" t="str">
        <f t="shared" si="1"/>
        <v>SunPork - North : GF Model - group Pen  40 days</v>
      </c>
    </row>
    <row r="86" spans="2:6" x14ac:dyDescent="0.25">
      <c r="B86" t="s">
        <v>51</v>
      </c>
      <c r="C86" t="s">
        <v>70</v>
      </c>
      <c r="F86" t="str">
        <f t="shared" si="1"/>
        <v>SunPork - South : Sow Model - Lactating studies, Farrowing house, 25 days</v>
      </c>
    </row>
    <row r="87" spans="2:6" x14ac:dyDescent="0.25">
      <c r="B87" t="s">
        <v>62</v>
      </c>
      <c r="C87" t="s">
        <v>70</v>
      </c>
      <c r="F87" t="str">
        <f t="shared" si="1"/>
        <v>SunPork - South : Sow model - group gestating ESF 115 days</v>
      </c>
    </row>
    <row r="88" spans="2:6" x14ac:dyDescent="0.25">
      <c r="B88" t="s">
        <v>63</v>
      </c>
      <c r="C88" t="s">
        <v>70</v>
      </c>
      <c r="F88" t="str">
        <f t="shared" si="1"/>
        <v>SunPork - South : Sow model - Group Pen gestating - 115 days</v>
      </c>
    </row>
    <row r="89" spans="2:6" x14ac:dyDescent="0.25">
      <c r="B89" t="s">
        <v>67</v>
      </c>
      <c r="C89" t="s">
        <v>70</v>
      </c>
      <c r="F89" t="str">
        <f t="shared" si="1"/>
        <v>SunPork - South : GF Model - group Pen  40 days</v>
      </c>
    </row>
    <row r="90" spans="2:6" x14ac:dyDescent="0.25">
      <c r="B90" t="s">
        <v>68</v>
      </c>
      <c r="C90" t="s">
        <v>70</v>
      </c>
      <c r="F90" t="str">
        <f t="shared" si="1"/>
        <v>SunPork - South : Multisuckling/Free Movement Farrow Crates</v>
      </c>
    </row>
    <row r="91" spans="2:6" x14ac:dyDescent="0.25">
      <c r="B91" t="s">
        <v>64</v>
      </c>
      <c r="C91" t="s">
        <v>81</v>
      </c>
      <c r="F91" t="str">
        <f t="shared" si="1"/>
        <v>PIWA (Medina) : Weaner Model (Individual)</v>
      </c>
    </row>
    <row r="92" spans="2:6" x14ac:dyDescent="0.25">
      <c r="B92" t="s">
        <v>66</v>
      </c>
      <c r="C92" t="s">
        <v>81</v>
      </c>
      <c r="F92" t="str">
        <f t="shared" si="1"/>
        <v>PIWA (Medina) : GF Model - individual intensive  40 days</v>
      </c>
    </row>
    <row r="93" spans="2:6" x14ac:dyDescent="0.25">
      <c r="B93" t="s">
        <v>67</v>
      </c>
      <c r="C93" t="s">
        <v>81</v>
      </c>
      <c r="F93" t="str">
        <f t="shared" si="1"/>
        <v>PIWA (Medina) : GF Model - group Pen  40 days</v>
      </c>
    </row>
    <row r="94" spans="2:6" x14ac:dyDescent="0.25">
      <c r="B94" t="s">
        <v>51</v>
      </c>
      <c r="C94" t="s">
        <v>47</v>
      </c>
      <c r="F94" t="str">
        <f t="shared" si="1"/>
        <v>Roseworthy : Sow Model - Lactating studies, Farrowing house, 25 days</v>
      </c>
    </row>
    <row r="95" spans="2:6" x14ac:dyDescent="0.25">
      <c r="B95" t="s">
        <v>63</v>
      </c>
      <c r="C95" t="s">
        <v>47</v>
      </c>
      <c r="F95" t="str">
        <f t="shared" si="1"/>
        <v>Roseworthy : Sow model - Group Pen gestating - 115 days</v>
      </c>
    </row>
  </sheetData>
  <autoFilter ref="C2:C63"/>
  <conditionalFormatting sqref="F4:T63">
    <cfRule type="cellIs" dxfId="0" priority="19" operator="equal">
      <formula>0</formula>
    </cfRule>
  </conditionalFormatting>
  <dataValidations count="2">
    <dataValidation type="list" allowBlank="1" showInputMessage="1" showErrorMessage="1" sqref="D1:D71 D77:D1048576">
      <formula1>FTE_Category</formula1>
    </dataValidation>
    <dataValidation type="list" allowBlank="1" showInputMessage="1" showErrorMessage="1" sqref="C1:C70 C96:C1048576 E1:E1048576">
      <formula1>Budget_Type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Budget</vt:lpstr>
      <vt:lpstr>Milestones</vt:lpstr>
      <vt:lpstr>Basefunding</vt:lpstr>
      <vt:lpstr>data</vt:lpstr>
      <vt:lpstr>data</vt:lpstr>
      <vt:lpstr>Facilities</vt:lpstr>
      <vt:lpstr>Basefunding!Print_Area</vt:lpstr>
      <vt:lpstr>Budget!Print_Area</vt:lpstr>
      <vt:lpstr>Milestones!Print_Area</vt:lpstr>
      <vt:lpstr>Budget!Print_Titles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Jeffrey</dc:creator>
  <cp:lastModifiedBy>Becky Smith</cp:lastModifiedBy>
  <cp:lastPrinted>2015-11-18T03:04:38Z</cp:lastPrinted>
  <dcterms:created xsi:type="dcterms:W3CDTF">2012-01-18T03:25:58Z</dcterms:created>
  <dcterms:modified xsi:type="dcterms:W3CDTF">2016-11-24T23:03:40Z</dcterms:modified>
</cp:coreProperties>
</file>